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ilarizona-my.sharepoint.com/personal/agorlier_arizona_edu/Documents/SRER/A-GRAZING &amp; PRODUCTIONS/Grazing History updates/"/>
    </mc:Choice>
  </mc:AlternateContent>
  <xr:revisionPtr revIDLastSave="898" documentId="8_{97B2A1E2-A3B5-4B36-A2C8-4D675D68A0AC}" xr6:coauthVersionLast="47" xr6:coauthVersionMax="47" xr10:uidLastSave="{B7E16F8F-E8B7-4042-9A36-29F682D01996}"/>
  <bookViews>
    <workbookView xWindow="28680" yWindow="-120" windowWidth="29040" windowHeight="15720" tabRatio="957" xr2:uid="{00000000-000D-0000-FFFF-FFFF00000000}"/>
  </bookViews>
  <sheets>
    <sheet name="Total AUY per ha" sheetId="45" r:id="rId1"/>
    <sheet name="Percent Area" sheetId="21" r:id="rId2"/>
    <sheet name="Pasture 1" sheetId="4" r:id="rId3"/>
    <sheet name="Pasture 2N" sheetId="5" r:id="rId4"/>
    <sheet name="Pasture 2SW" sheetId="6" r:id="rId5"/>
    <sheet name="UA Cell A" sheetId="29" r:id="rId6"/>
    <sheet name="UA Cell B" sheetId="30" r:id="rId7"/>
    <sheet name="UA Cell C" sheetId="31" r:id="rId8"/>
    <sheet name="UA Cell D" sheetId="32" r:id="rId9"/>
    <sheet name="UA Cell E" sheetId="33" r:id="rId10"/>
    <sheet name="UA Cell F" sheetId="34" r:id="rId11"/>
    <sheet name="UA Cell G" sheetId="35" r:id="rId12"/>
    <sheet name="UA Cell H" sheetId="36" r:id="rId13"/>
    <sheet name="Pasture 3" sheetId="7" r:id="rId14"/>
    <sheet name="Pasture 4" sheetId="8" r:id="rId15"/>
    <sheet name="Pasture 5N" sheetId="9" r:id="rId16"/>
    <sheet name="Pasture 5Mid" sheetId="10" r:id="rId17"/>
    <sheet name="Pasture 5S" sheetId="11" r:id="rId18"/>
    <sheet name="Pasture 6A" sheetId="12" r:id="rId19"/>
    <sheet name="Pasture 6B" sheetId="13" r:id="rId20"/>
    <sheet name="Pasture 6C" sheetId="14" r:id="rId21"/>
    <sheet name="Pasture 6D" sheetId="15" r:id="rId22"/>
    <sheet name="Pasture 6E" sheetId="16" r:id="rId23"/>
    <sheet name="Pasture 8" sheetId="17" r:id="rId24"/>
    <sheet name="Pasture 9" sheetId="42" r:id="rId25"/>
    <sheet name="Pasture 10" sheetId="43" r:id="rId26"/>
    <sheet name="Pasture 11A" sheetId="37" r:id="rId27"/>
    <sheet name="Pasture 11B" sheetId="38" r:id="rId28"/>
    <sheet name="Pasture 11C" sheetId="39" r:id="rId29"/>
    <sheet name="Pasture 12A" sheetId="18" r:id="rId30"/>
    <sheet name="Pasture 12B" sheetId="19" r:id="rId31"/>
    <sheet name="Pasture 12C" sheetId="20" r:id="rId32"/>
    <sheet name="Pasture 12D" sheetId="41" r:id="rId33"/>
    <sheet name="Pasture 12E" sheetId="46" r:id="rId34"/>
    <sheet name="Pasture 15" sheetId="40" r:id="rId35"/>
    <sheet name="Pasture 140" sheetId="44" r:id="rId36"/>
  </sheets>
  <definedNames>
    <definedName name="_xlnm._FilterDatabase" localSheetId="1" hidden="1">'Percent Area'!$A$1:$AW$116</definedName>
    <definedName name="_xlnm._FilterDatabase" localSheetId="0" hidden="1">'Total AUY per ha'!$A$2:$BN$117</definedName>
    <definedName name="_xlnm.Print_Area" localSheetId="2">'Pasture 1'!$A$1:$Z$93</definedName>
    <definedName name="_xlnm.Print_Area" localSheetId="4">'Pasture 2SW'!$A$1:$AA$97</definedName>
    <definedName name="_xlnm.Print_Area" localSheetId="13">'Pasture 3'!$A$1:$AA$66</definedName>
    <definedName name="_xlnm.Print_Area" localSheetId="14">'Pasture 4'!$A$1:$Z$70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19" i="21" l="1"/>
  <c r="AT119" i="21"/>
  <c r="AU120" i="45"/>
  <c r="AV120" i="45" s="1"/>
  <c r="AW120" i="45" s="1"/>
  <c r="AX120" i="45" s="1"/>
  <c r="AT120" i="45"/>
  <c r="D112" i="30"/>
  <c r="C112" i="30"/>
  <c r="D112" i="31"/>
  <c r="C112" i="31"/>
  <c r="D109" i="9"/>
  <c r="C109" i="9"/>
  <c r="D109" i="10"/>
  <c r="C109" i="10"/>
  <c r="D112" i="12"/>
  <c r="C112" i="12"/>
  <c r="D112" i="13"/>
  <c r="C112" i="13" s="1"/>
  <c r="D112" i="14"/>
  <c r="C112" i="14" s="1"/>
  <c r="D112" i="15"/>
  <c r="C112" i="15"/>
  <c r="D119" i="42"/>
  <c r="C119" i="42" s="1"/>
  <c r="D119" i="43"/>
  <c r="C119" i="43"/>
  <c r="D106" i="37"/>
  <c r="C106" i="37" s="1"/>
  <c r="D106" i="38"/>
  <c r="C106" i="38" s="1"/>
  <c r="AH120" i="45" s="1"/>
  <c r="D106" i="39"/>
  <c r="C106" i="39"/>
  <c r="AI120" i="45" s="1"/>
  <c r="D103" i="41"/>
  <c r="C103" i="41"/>
  <c r="D99" i="40"/>
  <c r="C99" i="40"/>
  <c r="D87" i="44"/>
  <c r="C87" i="44"/>
  <c r="AQ120" i="45" s="1"/>
  <c r="D106" i="7"/>
  <c r="C106" i="7" s="1"/>
  <c r="D103" i="18"/>
  <c r="C103" i="18" s="1"/>
  <c r="D112" i="33"/>
  <c r="C112" i="33" s="1"/>
  <c r="D103" i="20"/>
  <c r="C103" i="20" s="1"/>
  <c r="D112" i="34"/>
  <c r="C112" i="34" s="1"/>
  <c r="D112" i="32"/>
  <c r="C112" i="32" s="1"/>
  <c r="D112" i="36"/>
  <c r="C112" i="36" s="1"/>
  <c r="D112" i="35"/>
  <c r="C112" i="35" s="1"/>
  <c r="D112" i="29"/>
  <c r="C112" i="29" s="1"/>
  <c r="D112" i="8"/>
  <c r="C112" i="8" s="1"/>
  <c r="D103" i="46"/>
  <c r="C103" i="46" s="1"/>
  <c r="D103" i="19"/>
  <c r="C103" i="19" s="1"/>
  <c r="D112" i="6"/>
  <c r="C112" i="6" s="1"/>
  <c r="D113" i="17"/>
  <c r="C113" i="17" s="1"/>
  <c r="D120" i="4"/>
  <c r="C120" i="4" s="1"/>
  <c r="D109" i="11"/>
  <c r="C109" i="11" s="1"/>
  <c r="B119" i="21"/>
  <c r="D119" i="21"/>
  <c r="E119" i="21"/>
  <c r="I119" i="21"/>
  <c r="J119" i="21"/>
  <c r="K119" i="21"/>
  <c r="L119" i="21"/>
  <c r="M119" i="21"/>
  <c r="N119" i="21"/>
  <c r="O119" i="21"/>
  <c r="P119" i="21"/>
  <c r="Q119" i="21"/>
  <c r="R119" i="21"/>
  <c r="T119" i="21"/>
  <c r="U119" i="21"/>
  <c r="V119" i="21"/>
  <c r="X119" i="21"/>
  <c r="Y119" i="21"/>
  <c r="Z119" i="21"/>
  <c r="AA119" i="21"/>
  <c r="AB119" i="21"/>
  <c r="AC119" i="21"/>
  <c r="AD119" i="21"/>
  <c r="AE119" i="21"/>
  <c r="AG119" i="21"/>
  <c r="AH119" i="21"/>
  <c r="AI119" i="21"/>
  <c r="AK119" i="21"/>
  <c r="AL119" i="21"/>
  <c r="AM119" i="21"/>
  <c r="AN119" i="21"/>
  <c r="AO119" i="21"/>
  <c r="AP119" i="21"/>
  <c r="AQ119" i="21"/>
  <c r="AS120" i="45"/>
  <c r="K120" i="45"/>
  <c r="T120" i="45"/>
  <c r="X120" i="45"/>
  <c r="AA120" i="45"/>
  <c r="AB120" i="45"/>
  <c r="AE120" i="45"/>
  <c r="AP120" i="45"/>
  <c r="D112" i="16"/>
  <c r="C112" i="16" s="1"/>
  <c r="D112" i="5"/>
  <c r="C112" i="5" s="1"/>
  <c r="D105" i="39"/>
  <c r="C105" i="39" s="1"/>
  <c r="G105" i="39" s="1"/>
  <c r="D104" i="39"/>
  <c r="C104" i="39"/>
  <c r="G104" i="39" s="1"/>
  <c r="G112" i="30" l="1"/>
  <c r="F112" i="30"/>
  <c r="J120" i="45"/>
  <c r="G112" i="31"/>
  <c r="F112" i="31"/>
  <c r="G109" i="9"/>
  <c r="F109" i="9"/>
  <c r="U120" i="45"/>
  <c r="G109" i="10"/>
  <c r="F109" i="10"/>
  <c r="G112" i="12"/>
  <c r="F112" i="12"/>
  <c r="F112" i="13"/>
  <c r="G112" i="13"/>
  <c r="Y120" i="45"/>
  <c r="Z120" i="45"/>
  <c r="F112" i="14"/>
  <c r="G112" i="14"/>
  <c r="G112" i="15"/>
  <c r="F112" i="15"/>
  <c r="AD120" i="45"/>
  <c r="F119" i="42"/>
  <c r="G119" i="42"/>
  <c r="G119" i="43"/>
  <c r="F119" i="43"/>
  <c r="G106" i="37"/>
  <c r="F106" i="37"/>
  <c r="AG120" i="45"/>
  <c r="G106" i="38"/>
  <c r="F106" i="38"/>
  <c r="G106" i="39"/>
  <c r="F106" i="39"/>
  <c r="G103" i="41"/>
  <c r="F103" i="41"/>
  <c r="AN120" i="45"/>
  <c r="G99" i="40"/>
  <c r="F99" i="40"/>
  <c r="G87" i="44"/>
  <c r="F87" i="44"/>
  <c r="Q120" i="45"/>
  <c r="F106" i="7"/>
  <c r="G106" i="7"/>
  <c r="AK120" i="45"/>
  <c r="F103" i="18"/>
  <c r="G103" i="18"/>
  <c r="M120" i="45"/>
  <c r="F112" i="33"/>
  <c r="G112" i="33"/>
  <c r="AM120" i="45"/>
  <c r="F103" i="20"/>
  <c r="G103" i="20"/>
  <c r="N120" i="45"/>
  <c r="F112" i="34"/>
  <c r="G112" i="34"/>
  <c r="L120" i="45"/>
  <c r="F112" i="32"/>
  <c r="G112" i="32"/>
  <c r="P120" i="45"/>
  <c r="F112" i="36"/>
  <c r="G112" i="36"/>
  <c r="O120" i="45"/>
  <c r="F112" i="35"/>
  <c r="G112" i="35"/>
  <c r="I120" i="45"/>
  <c r="F112" i="29"/>
  <c r="G112" i="29"/>
  <c r="F112" i="8"/>
  <c r="G112" i="8"/>
  <c r="R120" i="45"/>
  <c r="AO120" i="45"/>
  <c r="F103" i="46"/>
  <c r="G103" i="46"/>
  <c r="AL120" i="45"/>
  <c r="F103" i="19"/>
  <c r="G103" i="19"/>
  <c r="E120" i="45"/>
  <c r="F112" i="6"/>
  <c r="G112" i="6"/>
  <c r="F112" i="5"/>
  <c r="D120" i="45"/>
  <c r="AC120" i="45"/>
  <c r="F113" i="17"/>
  <c r="G113" i="17"/>
  <c r="B120" i="45"/>
  <c r="F120" i="4"/>
  <c r="G120" i="4"/>
  <c r="V120" i="45"/>
  <c r="F109" i="11"/>
  <c r="G109" i="11"/>
  <c r="G112" i="16"/>
  <c r="F112" i="16"/>
  <c r="G112" i="5"/>
  <c r="F105" i="39"/>
  <c r="F104" i="39"/>
  <c r="G102" i="20" l="1"/>
  <c r="F102" i="20"/>
  <c r="G112" i="17"/>
  <c r="F112" i="17"/>
  <c r="D102" i="46" l="1"/>
  <c r="C102" i="46" s="1"/>
  <c r="D102" i="41"/>
  <c r="C102" i="41" s="1"/>
  <c r="D102" i="19"/>
  <c r="C102" i="19" s="1"/>
  <c r="D105" i="37"/>
  <c r="C105" i="37" s="1"/>
  <c r="D118" i="42"/>
  <c r="C118" i="42" s="1"/>
  <c r="D111" i="32"/>
  <c r="C111" i="32" s="1"/>
  <c r="D111" i="30"/>
  <c r="C111" i="30" s="1"/>
  <c r="D111" i="5"/>
  <c r="C111" i="5" s="1"/>
  <c r="D111" i="34"/>
  <c r="C111" i="34" s="1"/>
  <c r="D111" i="16"/>
  <c r="C111" i="16" s="1"/>
  <c r="D118" i="43"/>
  <c r="C118" i="43" s="1"/>
  <c r="F102" i="46" l="1"/>
  <c r="G102" i="46"/>
  <c r="G102" i="41"/>
  <c r="F102" i="41"/>
  <c r="F102" i="19"/>
  <c r="G102" i="19"/>
  <c r="F105" i="37"/>
  <c r="G105" i="37"/>
  <c r="F118" i="42"/>
  <c r="G118" i="42"/>
  <c r="G111" i="32"/>
  <c r="F111" i="32"/>
  <c r="G111" i="30"/>
  <c r="F111" i="30"/>
  <c r="F111" i="5"/>
  <c r="G111" i="5"/>
  <c r="F111" i="34"/>
  <c r="G111" i="34"/>
  <c r="F111" i="16"/>
  <c r="G111" i="16"/>
  <c r="F118" i="43"/>
  <c r="G118" i="43"/>
  <c r="D111" i="35"/>
  <c r="C111" i="35" s="1"/>
  <c r="D111" i="33"/>
  <c r="C111" i="33" s="1"/>
  <c r="D111" i="12"/>
  <c r="C111" i="12" s="1"/>
  <c r="D111" i="14"/>
  <c r="C111" i="14" s="1"/>
  <c r="F111" i="14" s="1"/>
  <c r="D111" i="13"/>
  <c r="C111" i="13" s="1"/>
  <c r="D111" i="15"/>
  <c r="C111" i="15" s="1"/>
  <c r="D111" i="36"/>
  <c r="C111" i="36" s="1"/>
  <c r="D111" i="31"/>
  <c r="C111" i="31" s="1"/>
  <c r="D98" i="40"/>
  <c r="C98" i="40" s="1"/>
  <c r="D111" i="29"/>
  <c r="C111" i="29" s="1"/>
  <c r="D105" i="38"/>
  <c r="C105" i="38" s="1"/>
  <c r="D108" i="9"/>
  <c r="C108" i="9" s="1"/>
  <c r="F108" i="9" s="1"/>
  <c r="D111" i="8"/>
  <c r="C111" i="8" s="1"/>
  <c r="D108" i="10"/>
  <c r="C108" i="10" s="1"/>
  <c r="U119" i="45" s="1"/>
  <c r="D108" i="11"/>
  <c r="C108" i="11" s="1"/>
  <c r="D105" i="7"/>
  <c r="C105" i="7" s="1"/>
  <c r="D111" i="6"/>
  <c r="C111" i="6" s="1"/>
  <c r="D86" i="44"/>
  <c r="C86" i="44" s="1"/>
  <c r="D102" i="18"/>
  <c r="C102" i="18" s="1"/>
  <c r="D102" i="20"/>
  <c r="C102" i="20" s="1"/>
  <c r="D112" i="17"/>
  <c r="C112" i="17" s="1"/>
  <c r="B118" i="21"/>
  <c r="D118" i="21"/>
  <c r="E118" i="21"/>
  <c r="I118" i="21"/>
  <c r="J118" i="21"/>
  <c r="K118" i="21"/>
  <c r="L118" i="21"/>
  <c r="M118" i="21"/>
  <c r="N118" i="21"/>
  <c r="O118" i="21"/>
  <c r="P118" i="21"/>
  <c r="Q118" i="21"/>
  <c r="R118" i="21"/>
  <c r="T118" i="21"/>
  <c r="U118" i="21"/>
  <c r="V118" i="21"/>
  <c r="X118" i="21"/>
  <c r="Y118" i="21"/>
  <c r="Z118" i="21"/>
  <c r="AA118" i="21"/>
  <c r="AB118" i="21"/>
  <c r="AC118" i="21"/>
  <c r="AD118" i="21"/>
  <c r="AE118" i="21"/>
  <c r="AG118" i="21"/>
  <c r="AH118" i="21"/>
  <c r="AI118" i="21"/>
  <c r="AK118" i="21"/>
  <c r="AT118" i="21" s="1"/>
  <c r="AL118" i="21"/>
  <c r="AM118" i="21"/>
  <c r="AN118" i="21"/>
  <c r="AO118" i="21"/>
  <c r="AP118" i="21"/>
  <c r="AQ118" i="21"/>
  <c r="D119" i="45"/>
  <c r="J119" i="45"/>
  <c r="L119" i="45"/>
  <c r="N119" i="45"/>
  <c r="AB119" i="45"/>
  <c r="AD119" i="45"/>
  <c r="AE119" i="45"/>
  <c r="AG119" i="45"/>
  <c r="AI119" i="45"/>
  <c r="AL119" i="45"/>
  <c r="AN119" i="45"/>
  <c r="AO119" i="45"/>
  <c r="AS119" i="45"/>
  <c r="D119" i="4"/>
  <c r="C119" i="4" s="1"/>
  <c r="D85" i="44"/>
  <c r="C85" i="44" s="1"/>
  <c r="D101" i="20"/>
  <c r="C101" i="20" s="1"/>
  <c r="D101" i="18"/>
  <c r="C101" i="18" s="1"/>
  <c r="D104" i="37"/>
  <c r="C104" i="37" s="1"/>
  <c r="D117" i="43"/>
  <c r="C117" i="43" s="1"/>
  <c r="D117" i="42"/>
  <c r="C117" i="42" s="1"/>
  <c r="D110" i="15"/>
  <c r="C110" i="15" s="1"/>
  <c r="D110" i="14"/>
  <c r="C110" i="14" s="1"/>
  <c r="D110" i="30"/>
  <c r="C110" i="30" s="1"/>
  <c r="D101" i="46"/>
  <c r="C101" i="46" s="1"/>
  <c r="D110" i="34"/>
  <c r="C110" i="34" s="1"/>
  <c r="D101" i="19"/>
  <c r="C101" i="19" s="1"/>
  <c r="D110" i="33"/>
  <c r="C110" i="33" s="1"/>
  <c r="D110" i="6"/>
  <c r="C110" i="6" s="1"/>
  <c r="D110" i="36"/>
  <c r="C110" i="36" s="1"/>
  <c r="F110" i="36" s="1"/>
  <c r="D110" i="32"/>
  <c r="C110" i="32" s="1"/>
  <c r="D110" i="31"/>
  <c r="C110" i="31" s="1"/>
  <c r="D110" i="5"/>
  <c r="C110" i="5" s="1"/>
  <c r="D110" i="16"/>
  <c r="C110" i="16" s="1"/>
  <c r="F110" i="16" s="1"/>
  <c r="D101" i="41"/>
  <c r="C101" i="41" s="1"/>
  <c r="D110" i="29"/>
  <c r="C110" i="29" s="1"/>
  <c r="D104" i="38"/>
  <c r="C104" i="38" s="1"/>
  <c r="F104" i="38" s="1"/>
  <c r="D110" i="12"/>
  <c r="C110" i="12" s="1"/>
  <c r="D110" i="13"/>
  <c r="C110" i="13" s="1"/>
  <c r="D97" i="40"/>
  <c r="C97" i="40" s="1"/>
  <c r="D110" i="8"/>
  <c r="C110" i="8" s="1"/>
  <c r="G110" i="8" s="1"/>
  <c r="D107" i="9"/>
  <c r="C107" i="9" s="1"/>
  <c r="AV118" i="21" l="1"/>
  <c r="AU119" i="45"/>
  <c r="B119" i="45"/>
  <c r="G119" i="4"/>
  <c r="F119" i="4"/>
  <c r="O119" i="45"/>
  <c r="F111" i="35"/>
  <c r="G111" i="35"/>
  <c r="F111" i="33"/>
  <c r="G111" i="33"/>
  <c r="M119" i="45"/>
  <c r="F111" i="12"/>
  <c r="X119" i="45"/>
  <c r="G111" i="12"/>
  <c r="G111" i="14"/>
  <c r="Z119" i="45"/>
  <c r="G111" i="13"/>
  <c r="Y119" i="45"/>
  <c r="F111" i="13"/>
  <c r="F111" i="15"/>
  <c r="G111" i="15"/>
  <c r="AA119" i="45"/>
  <c r="P119" i="45"/>
  <c r="F111" i="36"/>
  <c r="G111" i="36"/>
  <c r="F111" i="31"/>
  <c r="G111" i="31"/>
  <c r="K119" i="45"/>
  <c r="G98" i="40"/>
  <c r="AP119" i="45"/>
  <c r="F98" i="40"/>
  <c r="I119" i="45"/>
  <c r="F111" i="29"/>
  <c r="G111" i="29"/>
  <c r="G105" i="38"/>
  <c r="F105" i="38"/>
  <c r="AH119" i="45"/>
  <c r="G108" i="9"/>
  <c r="T119" i="45"/>
  <c r="F111" i="8"/>
  <c r="G111" i="8"/>
  <c r="R119" i="45"/>
  <c r="G108" i="10"/>
  <c r="F108" i="10"/>
  <c r="F108" i="11"/>
  <c r="V119" i="45"/>
  <c r="G108" i="11"/>
  <c r="G105" i="7"/>
  <c r="Q119" i="45"/>
  <c r="F105" i="7"/>
  <c r="E119" i="45"/>
  <c r="G111" i="6"/>
  <c r="F111" i="6"/>
  <c r="F86" i="44"/>
  <c r="AQ119" i="45"/>
  <c r="G86" i="44"/>
  <c r="F102" i="18"/>
  <c r="G102" i="18"/>
  <c r="AK119" i="45"/>
  <c r="AT119" i="45" s="1"/>
  <c r="AV119" i="45" s="1"/>
  <c r="AW119" i="45" s="1"/>
  <c r="AX119" i="45" s="1"/>
  <c r="AM119" i="45"/>
  <c r="AC119" i="45"/>
  <c r="F85" i="44"/>
  <c r="G85" i="44"/>
  <c r="F101" i="20"/>
  <c r="G101" i="20"/>
  <c r="F101" i="18"/>
  <c r="G101" i="18"/>
  <c r="G104" i="37"/>
  <c r="F104" i="37"/>
  <c r="F117" i="43"/>
  <c r="G117" i="43"/>
  <c r="F117" i="42"/>
  <c r="G117" i="42"/>
  <c r="F110" i="15"/>
  <c r="G110" i="15"/>
  <c r="F110" i="14"/>
  <c r="G110" i="14"/>
  <c r="F110" i="30"/>
  <c r="G110" i="30"/>
  <c r="F101" i="46"/>
  <c r="G101" i="46"/>
  <c r="F110" i="34"/>
  <c r="G110" i="34"/>
  <c r="F101" i="19"/>
  <c r="G101" i="19"/>
  <c r="F110" i="33"/>
  <c r="G110" i="33"/>
  <c r="G110" i="6"/>
  <c r="F110" i="6"/>
  <c r="G110" i="36"/>
  <c r="G110" i="32"/>
  <c r="F110" i="32"/>
  <c r="F110" i="31"/>
  <c r="G110" i="31"/>
  <c r="F110" i="5"/>
  <c r="G110" i="5"/>
  <c r="G110" i="16"/>
  <c r="F101" i="41"/>
  <c r="G101" i="41"/>
  <c r="F110" i="29"/>
  <c r="G110" i="29"/>
  <c r="G104" i="38"/>
  <c r="F110" i="12"/>
  <c r="G110" i="12"/>
  <c r="F110" i="13"/>
  <c r="G110" i="13"/>
  <c r="F97" i="40"/>
  <c r="G97" i="40"/>
  <c r="F110" i="8"/>
  <c r="G107" i="9"/>
  <c r="F107" i="9"/>
  <c r="D107" i="10" l="1"/>
  <c r="C107" i="10" s="1"/>
  <c r="D107" i="11"/>
  <c r="C107" i="11" s="1"/>
  <c r="D111" i="17"/>
  <c r="C111" i="17" s="1"/>
  <c r="D110" i="35"/>
  <c r="C110" i="35" s="1"/>
  <c r="G107" i="10" l="1"/>
  <c r="F107" i="10"/>
  <c r="F107" i="11"/>
  <c r="G107" i="11"/>
  <c r="G111" i="17"/>
  <c r="F111" i="17"/>
  <c r="F110" i="35"/>
  <c r="G110" i="35"/>
  <c r="D104" i="7" l="1"/>
  <c r="C104" i="7" s="1"/>
  <c r="D118" i="4"/>
  <c r="C118" i="4" s="1"/>
  <c r="B117" i="21"/>
  <c r="D117" i="21"/>
  <c r="E117" i="21"/>
  <c r="I117" i="21"/>
  <c r="J117" i="21"/>
  <c r="K117" i="21"/>
  <c r="L117" i="21"/>
  <c r="M117" i="21"/>
  <c r="N117" i="21"/>
  <c r="O117" i="21"/>
  <c r="P117" i="21"/>
  <c r="Q117" i="21"/>
  <c r="R117" i="21"/>
  <c r="T117" i="21"/>
  <c r="U117" i="21"/>
  <c r="V117" i="21"/>
  <c r="X117" i="21"/>
  <c r="Y117" i="21"/>
  <c r="Z117" i="21"/>
  <c r="AA117" i="21"/>
  <c r="AB117" i="21"/>
  <c r="AC117" i="21"/>
  <c r="AD117" i="21"/>
  <c r="AE117" i="21"/>
  <c r="AG117" i="21"/>
  <c r="AH117" i="21"/>
  <c r="AI117" i="21"/>
  <c r="AK117" i="21"/>
  <c r="AL117" i="21"/>
  <c r="AM117" i="21"/>
  <c r="AN117" i="21"/>
  <c r="AO117" i="21"/>
  <c r="AP117" i="21"/>
  <c r="AQ117" i="21"/>
  <c r="D118" i="45"/>
  <c r="E118" i="45"/>
  <c r="I118" i="45"/>
  <c r="J118" i="45"/>
  <c r="K118" i="45"/>
  <c r="L118" i="45"/>
  <c r="M118" i="45"/>
  <c r="N118" i="45"/>
  <c r="O118" i="45"/>
  <c r="P118" i="45"/>
  <c r="R118" i="45"/>
  <c r="T118" i="45"/>
  <c r="U118" i="45"/>
  <c r="V118" i="45"/>
  <c r="X118" i="45"/>
  <c r="Y118" i="45"/>
  <c r="Z118" i="45"/>
  <c r="AA118" i="45"/>
  <c r="AB118" i="45"/>
  <c r="AC118" i="45"/>
  <c r="AD118" i="45"/>
  <c r="AE118" i="45"/>
  <c r="AG118" i="45"/>
  <c r="AH118" i="45"/>
  <c r="AI118" i="45"/>
  <c r="AK118" i="45"/>
  <c r="AT118" i="45" s="1"/>
  <c r="AL118" i="45"/>
  <c r="AM118" i="45"/>
  <c r="AN118" i="45"/>
  <c r="AO118" i="45"/>
  <c r="AP118" i="45"/>
  <c r="AQ118" i="45"/>
  <c r="AS118" i="45"/>
  <c r="D63" i="39"/>
  <c r="C63" i="39"/>
  <c r="G63" i="39" s="1"/>
  <c r="G64" i="38"/>
  <c r="F64" i="38"/>
  <c r="D64" i="38"/>
  <c r="C64" i="38" s="1"/>
  <c r="D63" i="38"/>
  <c r="C63" i="38"/>
  <c r="G63" i="38" s="1"/>
  <c r="F84" i="45"/>
  <c r="G84" i="45"/>
  <c r="F83" i="21"/>
  <c r="G83" i="21"/>
  <c r="G68" i="45"/>
  <c r="G69" i="45"/>
  <c r="G70" i="45"/>
  <c r="G71" i="45"/>
  <c r="G72" i="45"/>
  <c r="G73" i="45"/>
  <c r="G74" i="45"/>
  <c r="G75" i="45"/>
  <c r="G76" i="45"/>
  <c r="G77" i="45"/>
  <c r="G78" i="45"/>
  <c r="G79" i="45"/>
  <c r="G80" i="45"/>
  <c r="G81" i="45"/>
  <c r="G82" i="45"/>
  <c r="G83" i="45"/>
  <c r="G67" i="45"/>
  <c r="Q118" i="45" l="1"/>
  <c r="F104" i="7"/>
  <c r="G104" i="7"/>
  <c r="AT117" i="21"/>
  <c r="AV117" i="21" s="1"/>
  <c r="F118" i="4"/>
  <c r="G118" i="4"/>
  <c r="B118" i="45"/>
  <c r="F63" i="39"/>
  <c r="F63" i="38"/>
  <c r="C52" i="45"/>
  <c r="AU118" i="45" l="1"/>
  <c r="AV118" i="45" s="1"/>
  <c r="AW118" i="45" s="1"/>
  <c r="AX118" i="45" s="1"/>
  <c r="D92" i="46"/>
  <c r="C92" i="46" s="1"/>
  <c r="F92" i="46" s="1"/>
  <c r="D91" i="46"/>
  <c r="C91" i="46" s="1"/>
  <c r="F91" i="46" s="1"/>
  <c r="D90" i="46"/>
  <c r="C90" i="46" s="1"/>
  <c r="F90" i="46" s="1"/>
  <c r="D89" i="46"/>
  <c r="C89" i="46" s="1"/>
  <c r="F89" i="46" s="1"/>
  <c r="D88" i="46"/>
  <c r="C88" i="46" s="1"/>
  <c r="F88" i="46" s="1"/>
  <c r="D87" i="46"/>
  <c r="C87" i="46" s="1"/>
  <c r="F87" i="46" s="1"/>
  <c r="D86" i="46"/>
  <c r="C86" i="46" s="1"/>
  <c r="F86" i="46" s="1"/>
  <c r="D85" i="46"/>
  <c r="C85" i="46" s="1"/>
  <c r="F85" i="46" s="1"/>
  <c r="D84" i="46"/>
  <c r="C84" i="46" s="1"/>
  <c r="F84" i="46" s="1"/>
  <c r="D83" i="46"/>
  <c r="C83" i="46" s="1"/>
  <c r="F83" i="46" s="1"/>
  <c r="D82" i="46"/>
  <c r="C82" i="46" s="1"/>
  <c r="F82" i="46" s="1"/>
  <c r="D81" i="46"/>
  <c r="C81" i="46" s="1"/>
  <c r="F81" i="46" s="1"/>
  <c r="D80" i="46"/>
  <c r="C80" i="46" s="1"/>
  <c r="F80" i="46" s="1"/>
  <c r="D79" i="46"/>
  <c r="C79" i="46" s="1"/>
  <c r="F79" i="46" s="1"/>
  <c r="D78" i="46"/>
  <c r="C78" i="46" s="1"/>
  <c r="F78" i="46" s="1"/>
  <c r="D77" i="46"/>
  <c r="C77" i="46" s="1"/>
  <c r="F77" i="46" s="1"/>
  <c r="D76" i="46"/>
  <c r="C76" i="46" s="1"/>
  <c r="F76" i="46" s="1"/>
  <c r="D75" i="46"/>
  <c r="C75" i="46" s="1"/>
  <c r="F75" i="46" s="1"/>
  <c r="D74" i="46"/>
  <c r="C74" i="46" s="1"/>
  <c r="F74" i="46" s="1"/>
  <c r="D73" i="46"/>
  <c r="C73" i="46" s="1"/>
  <c r="F73" i="46" s="1"/>
  <c r="D72" i="46"/>
  <c r="C72" i="46" s="1"/>
  <c r="F72" i="46" s="1"/>
  <c r="D71" i="46"/>
  <c r="C71" i="46" s="1"/>
  <c r="F71" i="46" s="1"/>
  <c r="D70" i="46"/>
  <c r="C70" i="46" s="1"/>
  <c r="F70" i="46" s="1"/>
  <c r="D69" i="46"/>
  <c r="C69" i="46" s="1"/>
  <c r="F69" i="46" s="1"/>
  <c r="D68" i="46"/>
  <c r="C68" i="46" s="1"/>
  <c r="F68" i="46" s="1"/>
  <c r="D67" i="46"/>
  <c r="C67" i="46" s="1"/>
  <c r="F67" i="46" s="1"/>
  <c r="D66" i="46"/>
  <c r="C66" i="46" s="1"/>
  <c r="F66" i="46" s="1"/>
  <c r="D65" i="46"/>
  <c r="C65" i="46" s="1"/>
  <c r="F65" i="46" s="1"/>
  <c r="D64" i="46"/>
  <c r="C64" i="46" s="1"/>
  <c r="F64" i="46" s="1"/>
  <c r="D63" i="46"/>
  <c r="C63" i="46" s="1"/>
  <c r="F63" i="46" s="1"/>
  <c r="D62" i="46"/>
  <c r="C62" i="46" s="1"/>
  <c r="F62" i="46" s="1"/>
  <c r="D61" i="46"/>
  <c r="C61" i="46" s="1"/>
  <c r="F61" i="46" s="1"/>
  <c r="D60" i="46"/>
  <c r="C60" i="46" s="1"/>
  <c r="F60" i="46" s="1"/>
  <c r="D59" i="46"/>
  <c r="C59" i="46" s="1"/>
  <c r="F59" i="46" s="1"/>
  <c r="D58" i="46"/>
  <c r="C58" i="46" s="1"/>
  <c r="F58" i="46" s="1"/>
  <c r="D57" i="46"/>
  <c r="C57" i="46" s="1"/>
  <c r="F57" i="46" s="1"/>
  <c r="D56" i="46"/>
  <c r="C56" i="46" s="1"/>
  <c r="F56" i="46" s="1"/>
  <c r="D55" i="46"/>
  <c r="C55" i="46" s="1"/>
  <c r="F55" i="46" s="1"/>
  <c r="D54" i="46"/>
  <c r="C54" i="46" s="1"/>
  <c r="F54" i="46" s="1"/>
  <c r="D53" i="46"/>
  <c r="C53" i="46" s="1"/>
  <c r="F53" i="46" s="1"/>
  <c r="D52" i="46"/>
  <c r="C52" i="46" s="1"/>
  <c r="F52" i="46" s="1"/>
  <c r="D51" i="46"/>
  <c r="C51" i="46" s="1"/>
  <c r="F51" i="46" s="1"/>
  <c r="D50" i="46"/>
  <c r="C50" i="46" s="1"/>
  <c r="F50" i="46" s="1"/>
  <c r="D49" i="46"/>
  <c r="C49" i="46" s="1"/>
  <c r="F49" i="46" s="1"/>
  <c r="D48" i="46"/>
  <c r="C48" i="46" s="1"/>
  <c r="F48" i="46" s="1"/>
  <c r="D47" i="46"/>
  <c r="C47" i="46" s="1"/>
  <c r="F47" i="46" s="1"/>
  <c r="D46" i="46"/>
  <c r="C46" i="46" s="1"/>
  <c r="F46" i="46" s="1"/>
  <c r="D45" i="46"/>
  <c r="C45" i="46" s="1"/>
  <c r="F45" i="46" s="1"/>
  <c r="D44" i="46"/>
  <c r="C44" i="46" s="1"/>
  <c r="F44" i="46" s="1"/>
  <c r="D43" i="46"/>
  <c r="C43" i="46" s="1"/>
  <c r="F43" i="46" s="1"/>
  <c r="D42" i="46"/>
  <c r="C42" i="46" s="1"/>
  <c r="F42" i="46" s="1"/>
  <c r="D41" i="46"/>
  <c r="C41" i="46" s="1"/>
  <c r="F41" i="46" s="1"/>
  <c r="D40" i="46"/>
  <c r="C40" i="46" s="1"/>
  <c r="F40" i="46" s="1"/>
  <c r="D39" i="46"/>
  <c r="C39" i="46" s="1"/>
  <c r="F39" i="46" s="1"/>
  <c r="D38" i="46"/>
  <c r="C38" i="46" s="1"/>
  <c r="F38" i="46" s="1"/>
  <c r="D37" i="46"/>
  <c r="C37" i="46" s="1"/>
  <c r="F37" i="46" s="1"/>
  <c r="D36" i="46"/>
  <c r="C36" i="46" s="1"/>
  <c r="F36" i="46" s="1"/>
  <c r="D35" i="46"/>
  <c r="C35" i="46" s="1"/>
  <c r="F35" i="46" s="1"/>
  <c r="D34" i="46"/>
  <c r="C34" i="46" s="1"/>
  <c r="F34" i="46" s="1"/>
  <c r="D33" i="46"/>
  <c r="C33" i="46" s="1"/>
  <c r="F33" i="46" s="1"/>
  <c r="D32" i="46"/>
  <c r="C32" i="46" s="1"/>
  <c r="F32" i="46" s="1"/>
  <c r="D31" i="46"/>
  <c r="C31" i="46" s="1"/>
  <c r="F31" i="46" s="1"/>
  <c r="D30" i="46"/>
  <c r="C30" i="46" s="1"/>
  <c r="F30" i="46" s="1"/>
  <c r="D29" i="46"/>
  <c r="C29" i="46" s="1"/>
  <c r="F29" i="46" s="1"/>
  <c r="D28" i="46"/>
  <c r="C28" i="46" s="1"/>
  <c r="F28" i="46" s="1"/>
  <c r="D27" i="46"/>
  <c r="C27" i="46" s="1"/>
  <c r="F27" i="46" s="1"/>
  <c r="D26" i="46"/>
  <c r="C26" i="46" s="1"/>
  <c r="F26" i="46" s="1"/>
  <c r="D25" i="46"/>
  <c r="C25" i="46" s="1"/>
  <c r="F25" i="46" s="1"/>
  <c r="D24" i="46"/>
  <c r="C24" i="46" s="1"/>
  <c r="F24" i="46" s="1"/>
  <c r="D23" i="46"/>
  <c r="C23" i="46" s="1"/>
  <c r="F23" i="46" s="1"/>
  <c r="D22" i="46"/>
  <c r="C22" i="46" s="1"/>
  <c r="F22" i="46" s="1"/>
  <c r="D21" i="46"/>
  <c r="C21" i="46" s="1"/>
  <c r="F21" i="46" s="1"/>
  <c r="D20" i="46"/>
  <c r="C20" i="46" s="1"/>
  <c r="F20" i="46" s="1"/>
  <c r="D19" i="46"/>
  <c r="C19" i="46" s="1"/>
  <c r="F19" i="46" s="1"/>
  <c r="D18" i="46"/>
  <c r="C18" i="46" s="1"/>
  <c r="F18" i="46" s="1"/>
  <c r="D17" i="46"/>
  <c r="C17" i="46" s="1"/>
  <c r="F17" i="46" s="1"/>
  <c r="D16" i="46"/>
  <c r="C16" i="46" s="1"/>
  <c r="F16" i="46" s="1"/>
  <c r="D15" i="46"/>
  <c r="C15" i="46" s="1"/>
  <c r="F15" i="46" s="1"/>
  <c r="D14" i="46"/>
  <c r="C14" i="46" s="1"/>
  <c r="F14" i="46" s="1"/>
  <c r="D13" i="46"/>
  <c r="C13" i="46" s="1"/>
  <c r="F13" i="46" s="1"/>
  <c r="D12" i="46"/>
  <c r="C12" i="46" s="1"/>
  <c r="F12" i="46" s="1"/>
  <c r="D11" i="46"/>
  <c r="C11" i="46" s="1"/>
  <c r="F11" i="46" s="1"/>
  <c r="D10" i="46"/>
  <c r="C10" i="46" s="1"/>
  <c r="F10" i="46" s="1"/>
  <c r="D9" i="46"/>
  <c r="C9" i="46" s="1"/>
  <c r="F9" i="46" s="1"/>
  <c r="D8" i="46"/>
  <c r="C8" i="46" s="1"/>
  <c r="F8" i="46" s="1"/>
  <c r="F7" i="46"/>
  <c r="D7" i="46"/>
  <c r="C7" i="46"/>
  <c r="G7" i="46" s="1"/>
  <c r="F6" i="46"/>
  <c r="D6" i="46"/>
  <c r="C6" i="46"/>
  <c r="G6" i="46" s="1"/>
  <c r="F5" i="46"/>
  <c r="D5" i="46"/>
  <c r="C5" i="46"/>
  <c r="G5" i="46" s="1"/>
  <c r="F4" i="46"/>
  <c r="D4" i="46"/>
  <c r="C4" i="46"/>
  <c r="G4" i="46" s="1"/>
  <c r="F3" i="46"/>
  <c r="D3" i="46"/>
  <c r="C3" i="46"/>
  <c r="G3" i="46" s="1"/>
  <c r="D63" i="41"/>
  <c r="C63" i="41"/>
  <c r="G63" i="41" s="1"/>
  <c r="D62" i="41"/>
  <c r="C62" i="41"/>
  <c r="G62" i="41" s="1"/>
  <c r="D61" i="41"/>
  <c r="C61" i="41"/>
  <c r="G61" i="41" s="1"/>
  <c r="D60" i="41"/>
  <c r="C60" i="41"/>
  <c r="G60" i="41" s="1"/>
  <c r="D59" i="41"/>
  <c r="C59" i="41"/>
  <c r="G59" i="41" s="1"/>
  <c r="D58" i="41"/>
  <c r="C58" i="41"/>
  <c r="G58" i="41" s="1"/>
  <c r="D57" i="41"/>
  <c r="C57" i="41"/>
  <c r="G57" i="41" s="1"/>
  <c r="D56" i="41"/>
  <c r="C56" i="41"/>
  <c r="G56" i="41" s="1"/>
  <c r="D55" i="41"/>
  <c r="C55" i="41"/>
  <c r="G55" i="41" s="1"/>
  <c r="D54" i="41"/>
  <c r="C54" i="41"/>
  <c r="G54" i="41" s="1"/>
  <c r="D53" i="41"/>
  <c r="C53" i="41"/>
  <c r="G53" i="41" s="1"/>
  <c r="D52" i="41"/>
  <c r="C52" i="41"/>
  <c r="G52" i="41" s="1"/>
  <c r="D51" i="41"/>
  <c r="C51" i="41"/>
  <c r="G51" i="41" s="1"/>
  <c r="D50" i="41"/>
  <c r="C50" i="41"/>
  <c r="G50" i="41" s="1"/>
  <c r="D49" i="41"/>
  <c r="C49" i="41"/>
  <c r="G49" i="41" s="1"/>
  <c r="D48" i="41"/>
  <c r="C48" i="41"/>
  <c r="G48" i="41" s="1"/>
  <c r="D47" i="41"/>
  <c r="C47" i="41"/>
  <c r="G47" i="41" s="1"/>
  <c r="D46" i="41"/>
  <c r="C46" i="41"/>
  <c r="G46" i="41" s="1"/>
  <c r="D45" i="41"/>
  <c r="C45" i="41"/>
  <c r="G45" i="41" s="1"/>
  <c r="D44" i="41"/>
  <c r="C44" i="41"/>
  <c r="G44" i="41" s="1"/>
  <c r="D43" i="41"/>
  <c r="C43" i="41"/>
  <c r="G43" i="41" s="1"/>
  <c r="D42" i="41"/>
  <c r="C42" i="41"/>
  <c r="G42" i="41" s="1"/>
  <c r="D41" i="41"/>
  <c r="C41" i="41"/>
  <c r="G41" i="41" s="1"/>
  <c r="D40" i="41"/>
  <c r="C40" i="41"/>
  <c r="G40" i="41" s="1"/>
  <c r="D39" i="41"/>
  <c r="C39" i="41"/>
  <c r="G39" i="41" s="1"/>
  <c r="D38" i="41"/>
  <c r="C38" i="41"/>
  <c r="G38" i="41" s="1"/>
  <c r="D37" i="41"/>
  <c r="C37" i="41"/>
  <c r="G37" i="41" s="1"/>
  <c r="D36" i="41"/>
  <c r="C36" i="41"/>
  <c r="G36" i="41" s="1"/>
  <c r="D35" i="41"/>
  <c r="C35" i="41"/>
  <c r="G35" i="41" s="1"/>
  <c r="D34" i="41"/>
  <c r="C34" i="41"/>
  <c r="G34" i="41" s="1"/>
  <c r="D33" i="41"/>
  <c r="C33" i="41"/>
  <c r="G33" i="41" s="1"/>
  <c r="D32" i="41"/>
  <c r="C32" i="41"/>
  <c r="G32" i="41" s="1"/>
  <c r="D31" i="41"/>
  <c r="C31" i="41"/>
  <c r="G31" i="41" s="1"/>
  <c r="D30" i="41"/>
  <c r="C30" i="41"/>
  <c r="G30" i="41" s="1"/>
  <c r="D29" i="41"/>
  <c r="C29" i="41"/>
  <c r="G29" i="41" s="1"/>
  <c r="D28" i="41"/>
  <c r="C28" i="41"/>
  <c r="G28" i="41" s="1"/>
  <c r="D27" i="41"/>
  <c r="C27" i="41"/>
  <c r="G27" i="41" s="1"/>
  <c r="D26" i="41"/>
  <c r="C26" i="41"/>
  <c r="G26" i="41" s="1"/>
  <c r="D25" i="41"/>
  <c r="C25" i="41"/>
  <c r="G25" i="41" s="1"/>
  <c r="D24" i="41"/>
  <c r="C24" i="41"/>
  <c r="G24" i="41" s="1"/>
  <c r="D23" i="41"/>
  <c r="C23" i="41"/>
  <c r="G23" i="41" s="1"/>
  <c r="D22" i="41"/>
  <c r="C22" i="41"/>
  <c r="G22" i="41" s="1"/>
  <c r="D21" i="41"/>
  <c r="C21" i="41"/>
  <c r="G21" i="41" s="1"/>
  <c r="D20" i="41"/>
  <c r="C20" i="41"/>
  <c r="G20" i="41" s="1"/>
  <c r="D19" i="41"/>
  <c r="C19" i="41"/>
  <c r="G19" i="41" s="1"/>
  <c r="D18" i="41"/>
  <c r="C18" i="41"/>
  <c r="G18" i="41" s="1"/>
  <c r="D17" i="41"/>
  <c r="C17" i="41"/>
  <c r="G17" i="41" s="1"/>
  <c r="D16" i="41"/>
  <c r="C16" i="41"/>
  <c r="G16" i="41" s="1"/>
  <c r="D15" i="41"/>
  <c r="C15" i="41"/>
  <c r="G15" i="41" s="1"/>
  <c r="D14" i="41"/>
  <c r="C14" i="41"/>
  <c r="G14" i="41" s="1"/>
  <c r="D13" i="41"/>
  <c r="C13" i="41"/>
  <c r="G13" i="41" s="1"/>
  <c r="D12" i="41"/>
  <c r="C12" i="41"/>
  <c r="G12" i="41" s="1"/>
  <c r="D11" i="41"/>
  <c r="C11" i="41"/>
  <c r="G11" i="41" s="1"/>
  <c r="D10" i="41"/>
  <c r="C10" i="41"/>
  <c r="G10" i="41" s="1"/>
  <c r="D9" i="41"/>
  <c r="C9" i="41"/>
  <c r="G9" i="41" s="1"/>
  <c r="D8" i="41"/>
  <c r="C8" i="41"/>
  <c r="G8" i="41" s="1"/>
  <c r="D7" i="41"/>
  <c r="C7" i="41"/>
  <c r="G7" i="41" s="1"/>
  <c r="D6" i="41"/>
  <c r="C6" i="41"/>
  <c r="G6" i="41" s="1"/>
  <c r="D5" i="41"/>
  <c r="C5" i="41"/>
  <c r="G5" i="41" s="1"/>
  <c r="D4" i="41"/>
  <c r="C4" i="41"/>
  <c r="G4" i="41" s="1"/>
  <c r="D3" i="41"/>
  <c r="C3" i="41"/>
  <c r="G3" i="41" s="1"/>
  <c r="C73" i="16"/>
  <c r="C73" i="12"/>
  <c r="X32" i="45"/>
  <c r="W31" i="45"/>
  <c r="C3" i="12"/>
  <c r="D3" i="12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80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48" i="21"/>
  <c r="Z49" i="21"/>
  <c r="Z50" i="21"/>
  <c r="Z51" i="21"/>
  <c r="Z52" i="21"/>
  <c r="Z53" i="21"/>
  <c r="Z54" i="21"/>
  <c r="Z55" i="21"/>
  <c r="Z56" i="21"/>
  <c r="Z57" i="21"/>
  <c r="Z58" i="21"/>
  <c r="Z59" i="21"/>
  <c r="Z60" i="21"/>
  <c r="Z61" i="21"/>
  <c r="Z62" i="21"/>
  <c r="Z63" i="21"/>
  <c r="Z64" i="21"/>
  <c r="Z65" i="21"/>
  <c r="Z66" i="21"/>
  <c r="Z67" i="21"/>
  <c r="Z68" i="21"/>
  <c r="Z69" i="21"/>
  <c r="Z70" i="21"/>
  <c r="Z71" i="21"/>
  <c r="Z72" i="21"/>
  <c r="Z73" i="21"/>
  <c r="Z74" i="21"/>
  <c r="Z75" i="21"/>
  <c r="Z76" i="21"/>
  <c r="Z77" i="21"/>
  <c r="Z78" i="21"/>
  <c r="Z79" i="21"/>
  <c r="Z80" i="21"/>
  <c r="Z81" i="21"/>
  <c r="Z82" i="21"/>
  <c r="Z83" i="21"/>
  <c r="Z84" i="21"/>
  <c r="Z85" i="21"/>
  <c r="Z86" i="21"/>
  <c r="Z87" i="21"/>
  <c r="Z88" i="21"/>
  <c r="Z89" i="21"/>
  <c r="Z90" i="21"/>
  <c r="Z91" i="21"/>
  <c r="Z92" i="21"/>
  <c r="Z93" i="21"/>
  <c r="Z94" i="21"/>
  <c r="Z95" i="21"/>
  <c r="Z96" i="21"/>
  <c r="Z97" i="21"/>
  <c r="Z98" i="21"/>
  <c r="Z99" i="21"/>
  <c r="Z100" i="21"/>
  <c r="Z101" i="21"/>
  <c r="Z102" i="21"/>
  <c r="Z103" i="21"/>
  <c r="Z104" i="21"/>
  <c r="Z105" i="21"/>
  <c r="Z106" i="21"/>
  <c r="Z107" i="21"/>
  <c r="Z108" i="21"/>
  <c r="Z109" i="21"/>
  <c r="Z110" i="21"/>
  <c r="Z111" i="21"/>
  <c r="Z112" i="21"/>
  <c r="Z113" i="21"/>
  <c r="Z114" i="21"/>
  <c r="Z115" i="21"/>
  <c r="Z116" i="21"/>
  <c r="Z31" i="21"/>
  <c r="Y32" i="21"/>
  <c r="Y33" i="21"/>
  <c r="Y34" i="21"/>
  <c r="Y35" i="21"/>
  <c r="Y36" i="21"/>
  <c r="Y37" i="21"/>
  <c r="Y38" i="21"/>
  <c r="Y39" i="21"/>
  <c r="Y40" i="21"/>
  <c r="Y41" i="21"/>
  <c r="Y42" i="21"/>
  <c r="Y43" i="21"/>
  <c r="Y44" i="21"/>
  <c r="Y45" i="21"/>
  <c r="Y46" i="21"/>
  <c r="Y47" i="21"/>
  <c r="Y48" i="21"/>
  <c r="Y49" i="21"/>
  <c r="Y50" i="21"/>
  <c r="Y51" i="21"/>
  <c r="Y52" i="21"/>
  <c r="Y53" i="21"/>
  <c r="Y54" i="21"/>
  <c r="Y55" i="21"/>
  <c r="Y56" i="21"/>
  <c r="Y57" i="21"/>
  <c r="Y58" i="21"/>
  <c r="Y59" i="21"/>
  <c r="Y60" i="21"/>
  <c r="Y61" i="21"/>
  <c r="Y62" i="21"/>
  <c r="Y63" i="21"/>
  <c r="Y64" i="21"/>
  <c r="Y65" i="21"/>
  <c r="Y66" i="21"/>
  <c r="Y67" i="21"/>
  <c r="Y68" i="21"/>
  <c r="Y69" i="21"/>
  <c r="Y70" i="21"/>
  <c r="Y71" i="21"/>
  <c r="Y72" i="21"/>
  <c r="Y73" i="21"/>
  <c r="Y74" i="21"/>
  <c r="Y75" i="21"/>
  <c r="Y76" i="21"/>
  <c r="Y77" i="21"/>
  <c r="Y78" i="21"/>
  <c r="Y79" i="21"/>
  <c r="Y80" i="21"/>
  <c r="Y81" i="21"/>
  <c r="Y82" i="21"/>
  <c r="Y83" i="21"/>
  <c r="Y84" i="21"/>
  <c r="Y85" i="21"/>
  <c r="Y86" i="21"/>
  <c r="Y87" i="21"/>
  <c r="Y88" i="21"/>
  <c r="Y89" i="21"/>
  <c r="Y90" i="21"/>
  <c r="Y91" i="21"/>
  <c r="Y92" i="21"/>
  <c r="Y93" i="21"/>
  <c r="Y94" i="21"/>
  <c r="Y95" i="21"/>
  <c r="Y96" i="21"/>
  <c r="Y97" i="21"/>
  <c r="Y98" i="21"/>
  <c r="Y99" i="21"/>
  <c r="Y100" i="21"/>
  <c r="Y101" i="21"/>
  <c r="Y102" i="21"/>
  <c r="Y103" i="21"/>
  <c r="Y104" i="21"/>
  <c r="Y105" i="21"/>
  <c r="Y106" i="21"/>
  <c r="Y107" i="21"/>
  <c r="Y108" i="21"/>
  <c r="Y109" i="21"/>
  <c r="Y110" i="21"/>
  <c r="Y111" i="21"/>
  <c r="Y112" i="21"/>
  <c r="Y113" i="21"/>
  <c r="Y114" i="21"/>
  <c r="Y115" i="21"/>
  <c r="Y116" i="21"/>
  <c r="Y31" i="21"/>
  <c r="G23" i="12"/>
  <c r="D69" i="15"/>
  <c r="C69" i="15"/>
  <c r="G69" i="15" s="1"/>
  <c r="D68" i="15"/>
  <c r="C68" i="15"/>
  <c r="G68" i="15" s="1"/>
  <c r="D67" i="15"/>
  <c r="C67" i="15"/>
  <c r="G67" i="15" s="1"/>
  <c r="D66" i="15"/>
  <c r="C66" i="15"/>
  <c r="G66" i="15" s="1"/>
  <c r="D65" i="15"/>
  <c r="C65" i="15"/>
  <c r="G65" i="15" s="1"/>
  <c r="D64" i="15"/>
  <c r="C64" i="15"/>
  <c r="G64" i="15" s="1"/>
  <c r="D63" i="15"/>
  <c r="C63" i="15"/>
  <c r="G63" i="15" s="1"/>
  <c r="D22" i="15"/>
  <c r="C22" i="15"/>
  <c r="G22" i="15" s="1"/>
  <c r="D21" i="15"/>
  <c r="C21" i="15"/>
  <c r="G21" i="15" s="1"/>
  <c r="D20" i="15"/>
  <c r="C20" i="15"/>
  <c r="G20" i="15" s="1"/>
  <c r="D19" i="15"/>
  <c r="C19" i="15"/>
  <c r="G19" i="15" s="1"/>
  <c r="D18" i="15"/>
  <c r="C18" i="15"/>
  <c r="G18" i="15" s="1"/>
  <c r="D17" i="15"/>
  <c r="C17" i="15"/>
  <c r="G17" i="15" s="1"/>
  <c r="D16" i="15"/>
  <c r="C16" i="15"/>
  <c r="G16" i="15" s="1"/>
  <c r="D15" i="15"/>
  <c r="C15" i="15"/>
  <c r="G15" i="15" s="1"/>
  <c r="D14" i="15"/>
  <c r="C14" i="15"/>
  <c r="G14" i="15" s="1"/>
  <c r="D13" i="15"/>
  <c r="C13" i="15"/>
  <c r="G13" i="15" s="1"/>
  <c r="D12" i="15"/>
  <c r="C12" i="15"/>
  <c r="G12" i="15" s="1"/>
  <c r="D11" i="15"/>
  <c r="C11" i="15"/>
  <c r="G11" i="15" s="1"/>
  <c r="D10" i="15"/>
  <c r="C10" i="15"/>
  <c r="G10" i="15" s="1"/>
  <c r="D9" i="15"/>
  <c r="C9" i="15"/>
  <c r="G9" i="15" s="1"/>
  <c r="D8" i="15"/>
  <c r="C8" i="15"/>
  <c r="G8" i="15" s="1"/>
  <c r="D7" i="15"/>
  <c r="C7" i="15"/>
  <c r="G7" i="15" s="1"/>
  <c r="D6" i="15"/>
  <c r="C6" i="15"/>
  <c r="G6" i="15" s="1"/>
  <c r="D5" i="15"/>
  <c r="C5" i="15"/>
  <c r="G5" i="15" s="1"/>
  <c r="D4" i="15"/>
  <c r="C4" i="15"/>
  <c r="G4" i="15" s="1"/>
  <c r="D3" i="15"/>
  <c r="C3" i="15"/>
  <c r="G3" i="15" s="1"/>
  <c r="G69" i="16"/>
  <c r="F69" i="16"/>
  <c r="D69" i="16"/>
  <c r="C69" i="16"/>
  <c r="G68" i="16"/>
  <c r="F68" i="16"/>
  <c r="D68" i="16"/>
  <c r="C68" i="16"/>
  <c r="G67" i="16"/>
  <c r="F67" i="16"/>
  <c r="D67" i="16"/>
  <c r="C67" i="16"/>
  <c r="G66" i="16"/>
  <c r="F66" i="16"/>
  <c r="D66" i="16"/>
  <c r="C66" i="16"/>
  <c r="G65" i="16"/>
  <c r="F65" i="16"/>
  <c r="D65" i="16"/>
  <c r="C65" i="16"/>
  <c r="G64" i="16"/>
  <c r="F64" i="16"/>
  <c r="D64" i="16"/>
  <c r="C64" i="16"/>
  <c r="G63" i="16"/>
  <c r="F63" i="16"/>
  <c r="D63" i="16"/>
  <c r="C63" i="16"/>
  <c r="D22" i="14"/>
  <c r="C22" i="14"/>
  <c r="G22" i="14" s="1"/>
  <c r="D21" i="14"/>
  <c r="C21" i="14"/>
  <c r="G21" i="14" s="1"/>
  <c r="D20" i="14"/>
  <c r="C20" i="14"/>
  <c r="G20" i="14" s="1"/>
  <c r="D19" i="14"/>
  <c r="C19" i="14"/>
  <c r="G19" i="14" s="1"/>
  <c r="D18" i="14"/>
  <c r="C18" i="14"/>
  <c r="G18" i="14" s="1"/>
  <c r="D17" i="14"/>
  <c r="C17" i="14"/>
  <c r="G17" i="14" s="1"/>
  <c r="D16" i="14"/>
  <c r="C16" i="14"/>
  <c r="G16" i="14" s="1"/>
  <c r="D15" i="14"/>
  <c r="C15" i="14"/>
  <c r="G15" i="14" s="1"/>
  <c r="D14" i="14"/>
  <c r="C14" i="14"/>
  <c r="G14" i="14" s="1"/>
  <c r="D13" i="14"/>
  <c r="C13" i="14"/>
  <c r="G13" i="14" s="1"/>
  <c r="D12" i="14"/>
  <c r="C12" i="14"/>
  <c r="G12" i="14" s="1"/>
  <c r="D11" i="14"/>
  <c r="C11" i="14"/>
  <c r="G11" i="14" s="1"/>
  <c r="D10" i="14"/>
  <c r="C10" i="14"/>
  <c r="G10" i="14" s="1"/>
  <c r="D9" i="14"/>
  <c r="C9" i="14"/>
  <c r="G9" i="14" s="1"/>
  <c r="D8" i="14"/>
  <c r="C8" i="14"/>
  <c r="G8" i="14" s="1"/>
  <c r="D7" i="14"/>
  <c r="C7" i="14"/>
  <c r="G7" i="14" s="1"/>
  <c r="D6" i="14"/>
  <c r="C6" i="14"/>
  <c r="G6" i="14" s="1"/>
  <c r="D5" i="14"/>
  <c r="C5" i="14"/>
  <c r="G5" i="14" s="1"/>
  <c r="D4" i="14"/>
  <c r="C4" i="14"/>
  <c r="G4" i="14" s="1"/>
  <c r="D3" i="14"/>
  <c r="C3" i="14"/>
  <c r="G3" i="14" s="1"/>
  <c r="D22" i="13"/>
  <c r="C22" i="13"/>
  <c r="G22" i="13" s="1"/>
  <c r="D21" i="13"/>
  <c r="C21" i="13"/>
  <c r="G21" i="13" s="1"/>
  <c r="D20" i="13"/>
  <c r="C20" i="13"/>
  <c r="G20" i="13" s="1"/>
  <c r="D19" i="13"/>
  <c r="C19" i="13"/>
  <c r="G19" i="13" s="1"/>
  <c r="D18" i="13"/>
  <c r="C18" i="13"/>
  <c r="G18" i="13" s="1"/>
  <c r="D17" i="13"/>
  <c r="C17" i="13"/>
  <c r="G17" i="13" s="1"/>
  <c r="D16" i="13"/>
  <c r="C16" i="13"/>
  <c r="G16" i="13" s="1"/>
  <c r="D15" i="13"/>
  <c r="C15" i="13"/>
  <c r="G15" i="13" s="1"/>
  <c r="D14" i="13"/>
  <c r="C14" i="13"/>
  <c r="G14" i="13" s="1"/>
  <c r="D13" i="13"/>
  <c r="C13" i="13"/>
  <c r="G13" i="13" s="1"/>
  <c r="D12" i="13"/>
  <c r="C12" i="13"/>
  <c r="G12" i="13" s="1"/>
  <c r="D11" i="13"/>
  <c r="C11" i="13"/>
  <c r="G11" i="13" s="1"/>
  <c r="D10" i="13"/>
  <c r="C10" i="13"/>
  <c r="G10" i="13" s="1"/>
  <c r="D9" i="13"/>
  <c r="C9" i="13"/>
  <c r="G9" i="13" s="1"/>
  <c r="D8" i="13"/>
  <c r="C8" i="13"/>
  <c r="G8" i="13" s="1"/>
  <c r="D7" i="13"/>
  <c r="C7" i="13"/>
  <c r="G7" i="13" s="1"/>
  <c r="D6" i="13"/>
  <c r="C6" i="13"/>
  <c r="G6" i="13" s="1"/>
  <c r="D5" i="13"/>
  <c r="C5" i="13"/>
  <c r="G5" i="13" s="1"/>
  <c r="D4" i="13"/>
  <c r="C4" i="13"/>
  <c r="G4" i="13" s="1"/>
  <c r="D3" i="13"/>
  <c r="C3" i="13"/>
  <c r="G3" i="13" s="1"/>
  <c r="AK109" i="21"/>
  <c r="AF35" i="21"/>
  <c r="G9" i="46" l="1"/>
  <c r="G11" i="46"/>
  <c r="G13" i="46"/>
  <c r="G15" i="46"/>
  <c r="G17" i="46"/>
  <c r="G19" i="46"/>
  <c r="G21" i="46"/>
  <c r="G23" i="46"/>
  <c r="G25" i="46"/>
  <c r="G27" i="46"/>
  <c r="G29" i="46"/>
  <c r="G31" i="46"/>
  <c r="G33" i="46"/>
  <c r="G35" i="46"/>
  <c r="G37" i="46"/>
  <c r="G39" i="46"/>
  <c r="G41" i="46"/>
  <c r="G43" i="46"/>
  <c r="G45" i="46"/>
  <c r="G47" i="46"/>
  <c r="G49" i="46"/>
  <c r="G51" i="46"/>
  <c r="G53" i="46"/>
  <c r="G55" i="46"/>
  <c r="G57" i="46"/>
  <c r="G59" i="46"/>
  <c r="G61" i="46"/>
  <c r="G63" i="46"/>
  <c r="G65" i="46"/>
  <c r="G67" i="46"/>
  <c r="G69" i="46"/>
  <c r="G71" i="46"/>
  <c r="G73" i="46"/>
  <c r="G75" i="46"/>
  <c r="G77" i="46"/>
  <c r="G79" i="46"/>
  <c r="G81" i="46"/>
  <c r="G83" i="46"/>
  <c r="G85" i="46"/>
  <c r="G87" i="46"/>
  <c r="G89" i="46"/>
  <c r="G91" i="46"/>
  <c r="G8" i="46"/>
  <c r="G10" i="46"/>
  <c r="G12" i="46"/>
  <c r="G14" i="46"/>
  <c r="G16" i="46"/>
  <c r="G18" i="46"/>
  <c r="G20" i="46"/>
  <c r="G22" i="46"/>
  <c r="G24" i="46"/>
  <c r="G26" i="46"/>
  <c r="G28" i="46"/>
  <c r="G30" i="46"/>
  <c r="G32" i="46"/>
  <c r="G34" i="46"/>
  <c r="G36" i="46"/>
  <c r="G38" i="46"/>
  <c r="G40" i="46"/>
  <c r="G42" i="46"/>
  <c r="G44" i="46"/>
  <c r="G46" i="46"/>
  <c r="G48" i="46"/>
  <c r="G50" i="46"/>
  <c r="G52" i="46"/>
  <c r="G54" i="46"/>
  <c r="G56" i="46"/>
  <c r="G58" i="46"/>
  <c r="G60" i="46"/>
  <c r="G62" i="46"/>
  <c r="G64" i="46"/>
  <c r="G66" i="46"/>
  <c r="G68" i="46"/>
  <c r="G70" i="46"/>
  <c r="G72" i="46"/>
  <c r="G74" i="46"/>
  <c r="G76" i="46"/>
  <c r="G78" i="46"/>
  <c r="G80" i="46"/>
  <c r="G82" i="46"/>
  <c r="G84" i="46"/>
  <c r="G86" i="46"/>
  <c r="G88" i="46"/>
  <c r="G90" i="46"/>
  <c r="G92" i="46"/>
  <c r="F3" i="41"/>
  <c r="F4" i="41"/>
  <c r="F5" i="41"/>
  <c r="F6" i="41"/>
  <c r="F7" i="41"/>
  <c r="F8" i="41"/>
  <c r="F9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33" i="41"/>
  <c r="F34" i="41"/>
  <c r="F35" i="41"/>
  <c r="F36" i="41"/>
  <c r="F37" i="41"/>
  <c r="F38" i="41"/>
  <c r="F39" i="41"/>
  <c r="F40" i="41"/>
  <c r="F41" i="41"/>
  <c r="F42" i="41"/>
  <c r="F43" i="41"/>
  <c r="F44" i="4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G3" i="12"/>
  <c r="F3" i="12"/>
  <c r="F63" i="15"/>
  <c r="F64" i="15"/>
  <c r="F65" i="15"/>
  <c r="F66" i="15"/>
  <c r="F67" i="15"/>
  <c r="F68" i="15"/>
  <c r="F69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D75" i="35"/>
  <c r="C75" i="35" s="1"/>
  <c r="F75" i="35" s="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66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B24" i="21"/>
  <c r="B25" i="21"/>
  <c r="B26" i="21"/>
  <c r="B27" i="21"/>
  <c r="B28" i="21"/>
  <c r="B29" i="21"/>
  <c r="AL117" i="45" l="1"/>
  <c r="AO117" i="45"/>
  <c r="AP117" i="45"/>
  <c r="AQ117" i="45"/>
  <c r="AG117" i="45"/>
  <c r="AH117" i="45"/>
  <c r="AI117" i="45"/>
  <c r="X117" i="45"/>
  <c r="AB117" i="45"/>
  <c r="AC117" i="45"/>
  <c r="AD117" i="45"/>
  <c r="AE117" i="45"/>
  <c r="T117" i="45"/>
  <c r="U117" i="45"/>
  <c r="V117" i="45"/>
  <c r="I117" i="45"/>
  <c r="J117" i="45"/>
  <c r="K117" i="45"/>
  <c r="L117" i="45"/>
  <c r="M117" i="45"/>
  <c r="N117" i="45"/>
  <c r="O117" i="45"/>
  <c r="P117" i="45"/>
  <c r="Q117" i="45"/>
  <c r="R117" i="45"/>
  <c r="D117" i="45"/>
  <c r="E117" i="45"/>
  <c r="B117" i="45"/>
  <c r="AQ116" i="21"/>
  <c r="D84" i="44"/>
  <c r="C84" i="44" s="1"/>
  <c r="F84" i="44" l="1"/>
  <c r="G84" i="44"/>
  <c r="AN116" i="21"/>
  <c r="D100" i="41"/>
  <c r="C100" i="41" s="1"/>
  <c r="AN117" i="45" s="1"/>
  <c r="AG116" i="21"/>
  <c r="AH116" i="21"/>
  <c r="D103" i="38"/>
  <c r="C103" i="38" s="1"/>
  <c r="D103" i="37"/>
  <c r="C103" i="37" s="1"/>
  <c r="AD116" i="21"/>
  <c r="AE116" i="21"/>
  <c r="D116" i="43"/>
  <c r="C116" i="43" s="1"/>
  <c r="D116" i="42"/>
  <c r="C116" i="42" s="1"/>
  <c r="AB116" i="21"/>
  <c r="D109" i="14"/>
  <c r="C109" i="14" s="1"/>
  <c r="Z117" i="45" s="1"/>
  <c r="V116" i="21"/>
  <c r="D106" i="11"/>
  <c r="C106" i="11" s="1"/>
  <c r="J116" i="21"/>
  <c r="D109" i="30"/>
  <c r="C109" i="30" s="1"/>
  <c r="Q116" i="21"/>
  <c r="D103" i="7"/>
  <c r="C103" i="7" s="1"/>
  <c r="AK116" i="21"/>
  <c r="D100" i="18"/>
  <c r="C100" i="18" s="1"/>
  <c r="AK117" i="45" s="1"/>
  <c r="AT117" i="45" s="1"/>
  <c r="AM116" i="21"/>
  <c r="D100" i="20"/>
  <c r="C100" i="20" s="1"/>
  <c r="AM117" i="45" s="1"/>
  <c r="N116" i="21"/>
  <c r="D109" i="34"/>
  <c r="C109" i="34" s="1"/>
  <c r="M116" i="21"/>
  <c r="D109" i="33"/>
  <c r="C109" i="33" s="1"/>
  <c r="AS117" i="45"/>
  <c r="L116" i="21"/>
  <c r="D109" i="32"/>
  <c r="C109" i="32" s="1"/>
  <c r="AO116" i="21"/>
  <c r="D100" i="46"/>
  <c r="C100" i="46" s="1"/>
  <c r="AL116" i="21"/>
  <c r="D100" i="19"/>
  <c r="C100" i="19" s="1"/>
  <c r="O116" i="21"/>
  <c r="D109" i="35"/>
  <c r="C109" i="35" s="1"/>
  <c r="P116" i="21"/>
  <c r="D109" i="36"/>
  <c r="C109" i="36" s="1"/>
  <c r="K116" i="21"/>
  <c r="D109" i="31"/>
  <c r="C109" i="31" s="1"/>
  <c r="E116" i="21"/>
  <c r="D109" i="6"/>
  <c r="C109" i="6" s="1"/>
  <c r="I116" i="21"/>
  <c r="D109" i="29"/>
  <c r="C109" i="29" s="1"/>
  <c r="D116" i="21"/>
  <c r="D109" i="5"/>
  <c r="C109" i="5" s="1"/>
  <c r="D109" i="16"/>
  <c r="C109" i="16" s="1"/>
  <c r="X116" i="21"/>
  <c r="D109" i="12"/>
  <c r="C109" i="12" s="1"/>
  <c r="G100" i="41" l="1"/>
  <c r="F100" i="41"/>
  <c r="F103" i="38"/>
  <c r="G103" i="38"/>
  <c r="F103" i="37"/>
  <c r="G103" i="37"/>
  <c r="G116" i="43"/>
  <c r="F116" i="43"/>
  <c r="F116" i="42"/>
  <c r="G116" i="42"/>
  <c r="F109" i="14"/>
  <c r="G109" i="14"/>
  <c r="F106" i="11"/>
  <c r="G106" i="11"/>
  <c r="F109" i="30"/>
  <c r="G109" i="30"/>
  <c r="F103" i="7"/>
  <c r="G103" i="7"/>
  <c r="F100" i="18"/>
  <c r="G100" i="18"/>
  <c r="F100" i="20"/>
  <c r="G100" i="20"/>
  <c r="F109" i="34"/>
  <c r="G109" i="34"/>
  <c r="F109" i="33"/>
  <c r="G109" i="33"/>
  <c r="F109" i="32"/>
  <c r="G109" i="32"/>
  <c r="F100" i="46"/>
  <c r="G100" i="46"/>
  <c r="F100" i="19"/>
  <c r="G100" i="19"/>
  <c r="G109" i="35"/>
  <c r="F109" i="35"/>
  <c r="F109" i="36"/>
  <c r="G109" i="36"/>
  <c r="F109" i="31"/>
  <c r="G109" i="31"/>
  <c r="F109" i="6"/>
  <c r="G109" i="6"/>
  <c r="G109" i="29"/>
  <c r="F109" i="29"/>
  <c r="F109" i="5"/>
  <c r="G109" i="5"/>
  <c r="F109" i="16"/>
  <c r="G109" i="16"/>
  <c r="F109" i="12"/>
  <c r="G109" i="12"/>
  <c r="R116" i="21" l="1"/>
  <c r="D109" i="8"/>
  <c r="C109" i="8" s="1"/>
  <c r="AI116" i="21"/>
  <c r="D103" i="39"/>
  <c r="C103" i="39" s="1"/>
  <c r="D109" i="15"/>
  <c r="C109" i="15" s="1"/>
  <c r="AA117" i="45" s="1"/>
  <c r="AP116" i="21"/>
  <c r="D96" i="40"/>
  <c r="C96" i="40" s="1"/>
  <c r="AC116" i="21"/>
  <c r="D110" i="17"/>
  <c r="C110" i="17" s="1"/>
  <c r="F110" i="17" s="1"/>
  <c r="B116" i="21"/>
  <c r="D117" i="4"/>
  <c r="C117" i="4" s="1"/>
  <c r="F117" i="4" s="1"/>
  <c r="F109" i="8" l="1"/>
  <c r="G109" i="8"/>
  <c r="G103" i="39"/>
  <c r="F103" i="39"/>
  <c r="F109" i="15"/>
  <c r="G109" i="15"/>
  <c r="G96" i="40"/>
  <c r="F96" i="40"/>
  <c r="G110" i="17"/>
  <c r="G117" i="4"/>
  <c r="D109" i="13" l="1"/>
  <c r="C109" i="13" s="1"/>
  <c r="Y117" i="45" s="1"/>
  <c r="U116" i="21"/>
  <c r="T116" i="21"/>
  <c r="AT116" i="21" s="1"/>
  <c r="D106" i="9"/>
  <c r="C106" i="9" s="1"/>
  <c r="D106" i="10"/>
  <c r="C106" i="10" s="1"/>
  <c r="G106" i="10" s="1"/>
  <c r="AV116" i="21" l="1"/>
  <c r="AU117" i="45"/>
  <c r="AV117" i="45" s="1"/>
  <c r="G109" i="13"/>
  <c r="F109" i="13"/>
  <c r="F106" i="9"/>
  <c r="G106" i="9"/>
  <c r="F106" i="10"/>
  <c r="AW117" i="45" l="1"/>
  <c r="AX117" i="45" s="1"/>
  <c r="I101" i="21" l="1"/>
  <c r="J101" i="21"/>
  <c r="K101" i="21"/>
  <c r="L101" i="21"/>
  <c r="M101" i="21"/>
  <c r="N101" i="21"/>
  <c r="O101" i="21"/>
  <c r="P101" i="21"/>
  <c r="I102" i="21"/>
  <c r="J102" i="21"/>
  <c r="K102" i="21"/>
  <c r="L102" i="21"/>
  <c r="M102" i="21"/>
  <c r="N102" i="21"/>
  <c r="O102" i="21"/>
  <c r="P102" i="21"/>
  <c r="I103" i="21"/>
  <c r="J103" i="21"/>
  <c r="K103" i="21"/>
  <c r="L103" i="21"/>
  <c r="M103" i="21"/>
  <c r="N103" i="21"/>
  <c r="O103" i="21"/>
  <c r="P103" i="21"/>
  <c r="I104" i="21"/>
  <c r="J104" i="21"/>
  <c r="K104" i="21"/>
  <c r="L104" i="21"/>
  <c r="M104" i="21"/>
  <c r="N104" i="21"/>
  <c r="O104" i="21"/>
  <c r="P104" i="21"/>
  <c r="I105" i="21"/>
  <c r="J105" i="21"/>
  <c r="K105" i="21"/>
  <c r="L105" i="21"/>
  <c r="M105" i="21"/>
  <c r="N105" i="21"/>
  <c r="O105" i="21"/>
  <c r="P105" i="21"/>
  <c r="I106" i="21"/>
  <c r="J106" i="21"/>
  <c r="K106" i="21"/>
  <c r="L106" i="21"/>
  <c r="M106" i="21"/>
  <c r="N106" i="21"/>
  <c r="O106" i="21"/>
  <c r="P106" i="21"/>
  <c r="I107" i="21"/>
  <c r="J107" i="21"/>
  <c r="K107" i="21"/>
  <c r="L107" i="21"/>
  <c r="M107" i="21"/>
  <c r="N107" i="21"/>
  <c r="O107" i="21"/>
  <c r="P107" i="21"/>
  <c r="I108" i="21"/>
  <c r="J108" i="21"/>
  <c r="K108" i="21"/>
  <c r="L108" i="21"/>
  <c r="M108" i="21"/>
  <c r="N108" i="21"/>
  <c r="O108" i="21"/>
  <c r="P108" i="21"/>
  <c r="I109" i="21"/>
  <c r="J109" i="21"/>
  <c r="K109" i="21"/>
  <c r="L109" i="21"/>
  <c r="M109" i="21"/>
  <c r="N109" i="21"/>
  <c r="O109" i="21"/>
  <c r="P109" i="21"/>
  <c r="I110" i="21"/>
  <c r="J110" i="21"/>
  <c r="K110" i="21"/>
  <c r="L110" i="21"/>
  <c r="M110" i="21"/>
  <c r="N110" i="21"/>
  <c r="O110" i="21"/>
  <c r="P110" i="21"/>
  <c r="I111" i="21"/>
  <c r="J111" i="21"/>
  <c r="K111" i="21"/>
  <c r="L111" i="21"/>
  <c r="M111" i="21"/>
  <c r="N111" i="21"/>
  <c r="O111" i="21"/>
  <c r="P111" i="21"/>
  <c r="I112" i="21"/>
  <c r="J112" i="21"/>
  <c r="K112" i="21"/>
  <c r="L112" i="21"/>
  <c r="M112" i="21"/>
  <c r="N112" i="21"/>
  <c r="O112" i="21"/>
  <c r="P112" i="21"/>
  <c r="I113" i="21"/>
  <c r="J113" i="21"/>
  <c r="K113" i="21"/>
  <c r="L113" i="21"/>
  <c r="M113" i="21"/>
  <c r="N113" i="21"/>
  <c r="O113" i="21"/>
  <c r="P113" i="21"/>
  <c r="I114" i="21"/>
  <c r="J114" i="21"/>
  <c r="K114" i="21"/>
  <c r="L114" i="21"/>
  <c r="M114" i="21"/>
  <c r="N114" i="21"/>
  <c r="O114" i="21"/>
  <c r="P114" i="21"/>
  <c r="I115" i="21"/>
  <c r="J115" i="21"/>
  <c r="K115" i="21"/>
  <c r="L115" i="21"/>
  <c r="M115" i="21"/>
  <c r="N115" i="21"/>
  <c r="O115" i="21"/>
  <c r="P115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B116" i="45"/>
  <c r="D116" i="45"/>
  <c r="E116" i="45"/>
  <c r="I116" i="45"/>
  <c r="J116" i="45"/>
  <c r="K116" i="45"/>
  <c r="L116" i="45"/>
  <c r="M116" i="45"/>
  <c r="N116" i="45"/>
  <c r="O116" i="45"/>
  <c r="P116" i="45"/>
  <c r="Q116" i="45"/>
  <c r="R116" i="45"/>
  <c r="T116" i="45"/>
  <c r="U116" i="45"/>
  <c r="V116" i="45"/>
  <c r="Y116" i="45"/>
  <c r="AB116" i="45"/>
  <c r="AC116" i="45"/>
  <c r="AD116" i="45"/>
  <c r="AE116" i="45"/>
  <c r="AG116" i="45"/>
  <c r="AH116" i="45"/>
  <c r="AI116" i="45"/>
  <c r="AL116" i="45"/>
  <c r="AM116" i="45"/>
  <c r="AO116" i="45"/>
  <c r="AP116" i="45"/>
  <c r="AQ116" i="45"/>
  <c r="AS116" i="45"/>
  <c r="B115" i="21"/>
  <c r="D115" i="21"/>
  <c r="Q115" i="21"/>
  <c r="R115" i="21"/>
  <c r="T115" i="21"/>
  <c r="U115" i="21"/>
  <c r="V115" i="21"/>
  <c r="X115" i="21"/>
  <c r="AB115" i="21"/>
  <c r="AC115" i="21"/>
  <c r="AD115" i="21"/>
  <c r="AE115" i="21"/>
  <c r="AG115" i="21"/>
  <c r="AH115" i="21"/>
  <c r="AI115" i="21"/>
  <c r="AK115" i="21"/>
  <c r="AL115" i="21"/>
  <c r="AM115" i="21"/>
  <c r="AN115" i="21"/>
  <c r="AO115" i="21"/>
  <c r="AP115" i="21"/>
  <c r="AQ115" i="21"/>
  <c r="G83" i="44"/>
  <c r="D83" i="44"/>
  <c r="C83" i="44" s="1"/>
  <c r="F83" i="44" s="1"/>
  <c r="F99" i="46"/>
  <c r="G99" i="46"/>
  <c r="D99" i="46"/>
  <c r="C99" i="46" s="1"/>
  <c r="D99" i="41"/>
  <c r="C99" i="41" s="1"/>
  <c r="F99" i="41" s="1"/>
  <c r="D99" i="20"/>
  <c r="C99" i="20" s="1"/>
  <c r="F99" i="20" s="1"/>
  <c r="D99" i="19"/>
  <c r="C99" i="19" s="1"/>
  <c r="F99" i="19" s="1"/>
  <c r="D99" i="18"/>
  <c r="C99" i="18" s="1"/>
  <c r="D102" i="37"/>
  <c r="C102" i="37" s="1"/>
  <c r="F102" i="37" s="1"/>
  <c r="D115" i="42"/>
  <c r="C115" i="42" s="1"/>
  <c r="F115" i="42" s="1"/>
  <c r="D108" i="14"/>
  <c r="C108" i="14" s="1"/>
  <c r="Z116" i="45" s="1"/>
  <c r="D105" i="9"/>
  <c r="C105" i="9" s="1"/>
  <c r="G105" i="9" s="1"/>
  <c r="D108" i="34"/>
  <c r="C108" i="34" s="1"/>
  <c r="G108" i="34" s="1"/>
  <c r="D108" i="30"/>
  <c r="C108" i="30" s="1"/>
  <c r="F108" i="30" s="1"/>
  <c r="D105" i="10"/>
  <c r="C105" i="10" s="1"/>
  <c r="G105" i="10" s="1"/>
  <c r="D108" i="33"/>
  <c r="C108" i="33" s="1"/>
  <c r="G108" i="33" s="1"/>
  <c r="D105" i="11"/>
  <c r="C105" i="11" s="1"/>
  <c r="G105" i="11" s="1"/>
  <c r="D108" i="35"/>
  <c r="C108" i="35" s="1"/>
  <c r="G108" i="35" s="1"/>
  <c r="D108" i="32"/>
  <c r="C108" i="32" s="1"/>
  <c r="G108" i="32" s="1"/>
  <c r="D102" i="7"/>
  <c r="C102" i="7" s="1"/>
  <c r="G102" i="7" s="1"/>
  <c r="D108" i="36"/>
  <c r="C108" i="36" s="1"/>
  <c r="G108" i="36" s="1"/>
  <c r="D108" i="31"/>
  <c r="C108" i="31" s="1"/>
  <c r="G108" i="31" s="1"/>
  <c r="D108" i="29"/>
  <c r="C108" i="29" s="1"/>
  <c r="F108" i="29" s="1"/>
  <c r="D102" i="38"/>
  <c r="C102" i="38" s="1"/>
  <c r="F102" i="38" s="1"/>
  <c r="D115" i="43"/>
  <c r="C115" i="43" s="1"/>
  <c r="F115" i="43" s="1"/>
  <c r="D108" i="8"/>
  <c r="C108" i="8" s="1"/>
  <c r="F108" i="8" s="1"/>
  <c r="D108" i="13"/>
  <c r="C108" i="13" s="1"/>
  <c r="F108" i="13" s="1"/>
  <c r="D95" i="40"/>
  <c r="C95" i="40" s="1"/>
  <c r="D108" i="15"/>
  <c r="C108" i="15" s="1"/>
  <c r="F108" i="15" s="1"/>
  <c r="D102" i="39"/>
  <c r="C102" i="39" s="1"/>
  <c r="F102" i="39" s="1"/>
  <c r="D108" i="12"/>
  <c r="C108" i="12" s="1"/>
  <c r="F108" i="12" s="1"/>
  <c r="D108" i="16"/>
  <c r="C108" i="16" s="1"/>
  <c r="F108" i="16" s="1"/>
  <c r="D109" i="17"/>
  <c r="C109" i="17" s="1"/>
  <c r="D116" i="4"/>
  <c r="C116" i="4" s="1"/>
  <c r="F116" i="4" s="1"/>
  <c r="D108" i="5"/>
  <c r="C108" i="5" s="1"/>
  <c r="F108" i="5" s="1"/>
  <c r="G107" i="6"/>
  <c r="F107" i="6"/>
  <c r="D108" i="6"/>
  <c r="C108" i="6" s="1"/>
  <c r="F108" i="6" s="1"/>
  <c r="D107" i="6"/>
  <c r="C107" i="6" s="1"/>
  <c r="C104" i="10"/>
  <c r="F104" i="10"/>
  <c r="F99" i="18" l="1"/>
  <c r="AK116" i="45"/>
  <c r="AN116" i="45"/>
  <c r="AA116" i="45"/>
  <c r="AT115" i="21"/>
  <c r="X116" i="45"/>
  <c r="G99" i="41"/>
  <c r="G99" i="20"/>
  <c r="G99" i="19"/>
  <c r="G99" i="18"/>
  <c r="G102" i="37"/>
  <c r="G115" i="42"/>
  <c r="F108" i="14"/>
  <c r="G108" i="14"/>
  <c r="F105" i="9"/>
  <c r="F108" i="34"/>
  <c r="G108" i="30"/>
  <c r="F105" i="10"/>
  <c r="F108" i="33"/>
  <c r="F105" i="11"/>
  <c r="F108" i="35"/>
  <c r="F108" i="32"/>
  <c r="F102" i="7"/>
  <c r="F108" i="36"/>
  <c r="F108" i="31"/>
  <c r="G108" i="29"/>
  <c r="G102" i="38"/>
  <c r="G115" i="43"/>
  <c r="G108" i="8"/>
  <c r="G108" i="13"/>
  <c r="F95" i="40"/>
  <c r="G95" i="40"/>
  <c r="G108" i="15"/>
  <c r="G102" i="39"/>
  <c r="G109" i="17"/>
  <c r="F109" i="17"/>
  <c r="G108" i="12"/>
  <c r="G108" i="16"/>
  <c r="G116" i="4"/>
  <c r="G108" i="5"/>
  <c r="G108" i="6"/>
  <c r="AH77" i="45"/>
  <c r="AH78" i="45"/>
  <c r="AT116" i="45" l="1"/>
  <c r="AV115" i="21"/>
  <c r="AU116" i="45"/>
  <c r="AO114" i="21"/>
  <c r="AO113" i="21"/>
  <c r="AO112" i="21"/>
  <c r="AO111" i="21"/>
  <c r="AO110" i="21"/>
  <c r="AO109" i="21"/>
  <c r="AV116" i="45" l="1"/>
  <c r="D98" i="46"/>
  <c r="C98" i="46" s="1"/>
  <c r="D97" i="46"/>
  <c r="C97" i="46" s="1"/>
  <c r="D96" i="46"/>
  <c r="C96" i="46" s="1"/>
  <c r="D95" i="46"/>
  <c r="C95" i="46" s="1"/>
  <c r="D94" i="46"/>
  <c r="C94" i="46" s="1"/>
  <c r="D93" i="46"/>
  <c r="C93" i="46" s="1"/>
  <c r="AW116" i="45" l="1"/>
  <c r="G95" i="46"/>
  <c r="AO112" i="45"/>
  <c r="F96" i="46"/>
  <c r="AO113" i="45"/>
  <c r="G93" i="46"/>
  <c r="AO110" i="45"/>
  <c r="G97" i="46"/>
  <c r="AO114" i="45"/>
  <c r="F94" i="46"/>
  <c r="AO111" i="45"/>
  <c r="F98" i="46"/>
  <c r="AO115" i="45"/>
  <c r="G96" i="46"/>
  <c r="F95" i="46"/>
  <c r="F93" i="46"/>
  <c r="G94" i="46"/>
  <c r="F97" i="46"/>
  <c r="G98" i="46"/>
  <c r="AE7" i="21"/>
  <c r="AX116" i="45" l="1"/>
  <c r="Z77" i="45"/>
  <c r="R83" i="45"/>
  <c r="D76" i="39" l="1"/>
  <c r="AN81" i="21" l="1"/>
  <c r="AN82" i="21"/>
  <c r="AN83" i="21"/>
  <c r="AN84" i="21"/>
  <c r="AN85" i="21"/>
  <c r="AN86" i="21"/>
  <c r="AN87" i="21"/>
  <c r="AN88" i="21"/>
  <c r="AN89" i="21"/>
  <c r="AN90" i="21"/>
  <c r="AN91" i="21"/>
  <c r="AN92" i="21"/>
  <c r="AN93" i="21"/>
  <c r="AN94" i="21"/>
  <c r="AN95" i="21"/>
  <c r="AN96" i="21"/>
  <c r="AN97" i="21"/>
  <c r="AN98" i="21"/>
  <c r="AN99" i="21"/>
  <c r="AN100" i="21"/>
  <c r="AN101" i="21"/>
  <c r="AN102" i="21"/>
  <c r="AN103" i="21"/>
  <c r="AN104" i="21"/>
  <c r="AN105" i="21"/>
  <c r="AN106" i="21"/>
  <c r="AN107" i="21"/>
  <c r="AN108" i="21"/>
  <c r="AN109" i="21"/>
  <c r="AN110" i="21"/>
  <c r="AN111" i="21"/>
  <c r="AN112" i="21"/>
  <c r="AN113" i="21"/>
  <c r="AN114" i="21"/>
  <c r="AG105" i="21"/>
  <c r="AH105" i="21"/>
  <c r="AI105" i="21"/>
  <c r="AK105" i="21"/>
  <c r="AL105" i="21"/>
  <c r="AM105" i="21"/>
  <c r="AP105" i="21"/>
  <c r="AQ105" i="21"/>
  <c r="AG106" i="21"/>
  <c r="AH106" i="21"/>
  <c r="AI106" i="21"/>
  <c r="AK106" i="21"/>
  <c r="AL106" i="21"/>
  <c r="AM106" i="21"/>
  <c r="AP106" i="21"/>
  <c r="AQ106" i="21"/>
  <c r="AG107" i="21"/>
  <c r="AH107" i="21"/>
  <c r="AI107" i="21"/>
  <c r="AK107" i="21"/>
  <c r="AL107" i="21"/>
  <c r="AM107" i="21"/>
  <c r="AP107" i="21"/>
  <c r="AQ107" i="21"/>
  <c r="AG108" i="21"/>
  <c r="AH108" i="21"/>
  <c r="AI108" i="21"/>
  <c r="AK108" i="21"/>
  <c r="AL108" i="21"/>
  <c r="AM108" i="21"/>
  <c r="AP108" i="21"/>
  <c r="AQ108" i="21"/>
  <c r="AG109" i="21"/>
  <c r="AH109" i="21"/>
  <c r="AI109" i="21"/>
  <c r="AL109" i="21"/>
  <c r="AM109" i="21"/>
  <c r="AP109" i="21"/>
  <c r="AQ109" i="21"/>
  <c r="AG110" i="21"/>
  <c r="AH110" i="21"/>
  <c r="AI110" i="21"/>
  <c r="AK110" i="21"/>
  <c r="AL110" i="21"/>
  <c r="AM110" i="21"/>
  <c r="AP110" i="21"/>
  <c r="AQ110" i="21"/>
  <c r="AG111" i="21"/>
  <c r="AH111" i="21"/>
  <c r="AI111" i="21"/>
  <c r="AK111" i="21"/>
  <c r="AL111" i="21"/>
  <c r="AM111" i="21"/>
  <c r="AP111" i="21"/>
  <c r="AQ111" i="21"/>
  <c r="AG112" i="21"/>
  <c r="AH112" i="21"/>
  <c r="AI112" i="21"/>
  <c r="AK112" i="21"/>
  <c r="AL112" i="21"/>
  <c r="AM112" i="21"/>
  <c r="AP112" i="21"/>
  <c r="AQ112" i="21"/>
  <c r="AG113" i="21"/>
  <c r="AH113" i="21"/>
  <c r="AI113" i="21"/>
  <c r="AK113" i="21"/>
  <c r="AL113" i="21"/>
  <c r="AM113" i="21"/>
  <c r="AP113" i="21"/>
  <c r="AQ113" i="21"/>
  <c r="AG114" i="21"/>
  <c r="AH114" i="21"/>
  <c r="AI114" i="21"/>
  <c r="AK114" i="21"/>
  <c r="AL114" i="21"/>
  <c r="AM114" i="21"/>
  <c r="AP114" i="21"/>
  <c r="AQ114" i="21"/>
  <c r="AB105" i="21"/>
  <c r="AC105" i="21"/>
  <c r="AD105" i="21"/>
  <c r="AE105" i="21"/>
  <c r="AB106" i="21"/>
  <c r="AC106" i="21"/>
  <c r="AD106" i="21"/>
  <c r="AE106" i="21"/>
  <c r="AB107" i="21"/>
  <c r="AC107" i="21"/>
  <c r="AD107" i="21"/>
  <c r="AE107" i="21"/>
  <c r="AB108" i="21"/>
  <c r="AC108" i="21"/>
  <c r="AD108" i="21"/>
  <c r="AE108" i="21"/>
  <c r="AB109" i="21"/>
  <c r="AC109" i="21"/>
  <c r="AD109" i="21"/>
  <c r="AE109" i="21"/>
  <c r="AB110" i="21"/>
  <c r="AC110" i="21"/>
  <c r="AD110" i="21"/>
  <c r="AE110" i="21"/>
  <c r="AB111" i="21"/>
  <c r="AC111" i="21"/>
  <c r="AD111" i="21"/>
  <c r="AE111" i="21"/>
  <c r="AB112" i="21"/>
  <c r="AC112" i="21"/>
  <c r="AD112" i="21"/>
  <c r="AE112" i="21"/>
  <c r="AB113" i="21"/>
  <c r="AC113" i="21"/>
  <c r="AD113" i="21"/>
  <c r="AE113" i="21"/>
  <c r="AB114" i="21"/>
  <c r="AC114" i="21"/>
  <c r="AD114" i="21"/>
  <c r="AE114" i="21"/>
  <c r="X105" i="21"/>
  <c r="X106" i="21"/>
  <c r="X107" i="21"/>
  <c r="X108" i="21"/>
  <c r="X109" i="21"/>
  <c r="X110" i="21"/>
  <c r="X111" i="21"/>
  <c r="X112" i="21"/>
  <c r="X113" i="21"/>
  <c r="X114" i="21"/>
  <c r="T105" i="21"/>
  <c r="U105" i="21"/>
  <c r="V105" i="21"/>
  <c r="T106" i="21"/>
  <c r="U106" i="21"/>
  <c r="V106" i="21"/>
  <c r="T107" i="21"/>
  <c r="U107" i="21"/>
  <c r="V107" i="21"/>
  <c r="T108" i="21"/>
  <c r="U108" i="21"/>
  <c r="V108" i="21"/>
  <c r="T109" i="21"/>
  <c r="U109" i="21"/>
  <c r="V109" i="21"/>
  <c r="T110" i="21"/>
  <c r="U110" i="21"/>
  <c r="V110" i="21"/>
  <c r="T111" i="21"/>
  <c r="U111" i="21"/>
  <c r="V111" i="21"/>
  <c r="T112" i="21"/>
  <c r="U112" i="21"/>
  <c r="V112" i="21"/>
  <c r="T113" i="21"/>
  <c r="U113" i="21"/>
  <c r="V113" i="21"/>
  <c r="T114" i="21"/>
  <c r="U114" i="21"/>
  <c r="V114" i="21"/>
  <c r="Q105" i="21"/>
  <c r="R105" i="21"/>
  <c r="Q106" i="21"/>
  <c r="R106" i="21"/>
  <c r="Q107" i="21"/>
  <c r="R107" i="21"/>
  <c r="Q108" i="21"/>
  <c r="R108" i="21"/>
  <c r="Q109" i="21"/>
  <c r="R109" i="21"/>
  <c r="Q110" i="21"/>
  <c r="R110" i="21"/>
  <c r="Q111" i="21"/>
  <c r="R111" i="21"/>
  <c r="Q112" i="21"/>
  <c r="R112" i="21"/>
  <c r="Q113" i="21"/>
  <c r="R113" i="21"/>
  <c r="Q114" i="21"/>
  <c r="R114" i="21"/>
  <c r="D105" i="21"/>
  <c r="D106" i="21"/>
  <c r="D107" i="21"/>
  <c r="D108" i="21"/>
  <c r="D109" i="21"/>
  <c r="AT109" i="21" s="1"/>
  <c r="D110" i="21"/>
  <c r="D111" i="21"/>
  <c r="D112" i="21"/>
  <c r="D113" i="21"/>
  <c r="AT113" i="21" s="1"/>
  <c r="D114" i="21"/>
  <c r="B105" i="21"/>
  <c r="B106" i="21"/>
  <c r="B107" i="21"/>
  <c r="B108" i="21"/>
  <c r="B109" i="21"/>
  <c r="B110" i="21"/>
  <c r="B111" i="21"/>
  <c r="B112" i="21"/>
  <c r="B113" i="21"/>
  <c r="B114" i="21"/>
  <c r="AT105" i="21" l="1"/>
  <c r="AU114" i="45"/>
  <c r="AU106" i="45"/>
  <c r="AU110" i="45"/>
  <c r="AT114" i="21"/>
  <c r="AV114" i="21" s="1"/>
  <c r="AT110" i="21"/>
  <c r="AT106" i="21"/>
  <c r="AV106" i="21" s="1"/>
  <c r="AT112" i="21"/>
  <c r="AT108" i="21"/>
  <c r="AT111" i="21"/>
  <c r="AT107" i="21"/>
  <c r="AV113" i="21"/>
  <c r="AV109" i="21"/>
  <c r="AV105" i="21"/>
  <c r="D76" i="36"/>
  <c r="C76" i="36" s="1"/>
  <c r="D75" i="36"/>
  <c r="C75" i="36" s="1"/>
  <c r="D74" i="36"/>
  <c r="C74" i="36" s="1"/>
  <c r="D73" i="36"/>
  <c r="C73" i="36" s="1"/>
  <c r="D72" i="36"/>
  <c r="C72" i="36" s="1"/>
  <c r="D71" i="36"/>
  <c r="C71" i="36" s="1"/>
  <c r="D70" i="36"/>
  <c r="C70" i="36" s="1"/>
  <c r="D69" i="36"/>
  <c r="C69" i="36" s="1"/>
  <c r="D68" i="36"/>
  <c r="C68" i="36" s="1"/>
  <c r="D67" i="36"/>
  <c r="C67" i="36" s="1"/>
  <c r="D66" i="36"/>
  <c r="C66" i="36" s="1"/>
  <c r="D65" i="36"/>
  <c r="C65" i="36" s="1"/>
  <c r="D64" i="36"/>
  <c r="C64" i="36" s="1"/>
  <c r="D63" i="36"/>
  <c r="C63" i="36" s="1"/>
  <c r="D62" i="36"/>
  <c r="C62" i="36" s="1"/>
  <c r="D61" i="36"/>
  <c r="C61" i="36" s="1"/>
  <c r="D60" i="36"/>
  <c r="C60" i="36" s="1"/>
  <c r="D59" i="36"/>
  <c r="C59" i="36" s="1"/>
  <c r="D58" i="36"/>
  <c r="C58" i="36" s="1"/>
  <c r="D57" i="36"/>
  <c r="C57" i="36" s="1"/>
  <c r="D56" i="36"/>
  <c r="C56" i="36" s="1"/>
  <c r="D55" i="36"/>
  <c r="C55" i="36" s="1"/>
  <c r="D54" i="36"/>
  <c r="C54" i="36" s="1"/>
  <c r="D53" i="36"/>
  <c r="C53" i="36" s="1"/>
  <c r="D52" i="36"/>
  <c r="C52" i="36" s="1"/>
  <c r="D51" i="36"/>
  <c r="C51" i="36" s="1"/>
  <c r="D50" i="36"/>
  <c r="C50" i="36" s="1"/>
  <c r="D49" i="36"/>
  <c r="C49" i="36" s="1"/>
  <c r="D48" i="36"/>
  <c r="C48" i="36" s="1"/>
  <c r="D47" i="36"/>
  <c r="C47" i="36" s="1"/>
  <c r="D46" i="36"/>
  <c r="C46" i="36" s="1"/>
  <c r="D45" i="36"/>
  <c r="C45" i="36" s="1"/>
  <c r="D44" i="36"/>
  <c r="C44" i="36" s="1"/>
  <c r="D43" i="36"/>
  <c r="C43" i="36" s="1"/>
  <c r="D42" i="36"/>
  <c r="C42" i="36" s="1"/>
  <c r="D41" i="36"/>
  <c r="C41" i="36" s="1"/>
  <c r="D40" i="36"/>
  <c r="C40" i="36" s="1"/>
  <c r="D39" i="36"/>
  <c r="C39" i="36" s="1"/>
  <c r="D38" i="36"/>
  <c r="C38" i="36" s="1"/>
  <c r="D37" i="36"/>
  <c r="C37" i="36" s="1"/>
  <c r="D36" i="36"/>
  <c r="C36" i="36" s="1"/>
  <c r="D35" i="36"/>
  <c r="C35" i="36" s="1"/>
  <c r="D34" i="36"/>
  <c r="C34" i="36" s="1"/>
  <c r="D33" i="36"/>
  <c r="C33" i="36" s="1"/>
  <c r="D32" i="36"/>
  <c r="C32" i="36" s="1"/>
  <c r="D31" i="36"/>
  <c r="C31" i="36" s="1"/>
  <c r="D30" i="36"/>
  <c r="C30" i="36" s="1"/>
  <c r="D29" i="36"/>
  <c r="C29" i="36" s="1"/>
  <c r="D28" i="36"/>
  <c r="C28" i="36" s="1"/>
  <c r="D27" i="36"/>
  <c r="C27" i="36" s="1"/>
  <c r="D26" i="36"/>
  <c r="C26" i="36" s="1"/>
  <c r="D25" i="36"/>
  <c r="C25" i="36" s="1"/>
  <c r="D24" i="36"/>
  <c r="C24" i="36" s="1"/>
  <c r="D23" i="36"/>
  <c r="C23" i="36" s="1"/>
  <c r="D22" i="36"/>
  <c r="C22" i="36" s="1"/>
  <c r="D21" i="36"/>
  <c r="C21" i="36" s="1"/>
  <c r="D20" i="36"/>
  <c r="C20" i="36" s="1"/>
  <c r="D19" i="36"/>
  <c r="C19" i="36" s="1"/>
  <c r="D18" i="36"/>
  <c r="C18" i="36" s="1"/>
  <c r="D17" i="36"/>
  <c r="C17" i="36" s="1"/>
  <c r="D16" i="36"/>
  <c r="C16" i="36" s="1"/>
  <c r="D15" i="36"/>
  <c r="C15" i="36" s="1"/>
  <c r="D14" i="36"/>
  <c r="C14" i="36" s="1"/>
  <c r="D13" i="36"/>
  <c r="C13" i="36" s="1"/>
  <c r="D12" i="36"/>
  <c r="C12" i="36" s="1"/>
  <c r="D11" i="36"/>
  <c r="C11" i="36" s="1"/>
  <c r="D10" i="36"/>
  <c r="C10" i="36" s="1"/>
  <c r="D9" i="36"/>
  <c r="C9" i="36" s="1"/>
  <c r="D8" i="36"/>
  <c r="C8" i="36" s="1"/>
  <c r="D7" i="36"/>
  <c r="C7" i="36" s="1"/>
  <c r="D6" i="36"/>
  <c r="C6" i="36" s="1"/>
  <c r="D5" i="36"/>
  <c r="C5" i="36" s="1"/>
  <c r="D4" i="36"/>
  <c r="C4" i="36" s="1"/>
  <c r="D3" i="36"/>
  <c r="C3" i="36" s="1"/>
  <c r="D76" i="31"/>
  <c r="C76" i="31" s="1"/>
  <c r="D75" i="31"/>
  <c r="C75" i="31" s="1"/>
  <c r="G75" i="31" s="1"/>
  <c r="D74" i="31"/>
  <c r="C74" i="31" s="1"/>
  <c r="G74" i="31" s="1"/>
  <c r="D73" i="31"/>
  <c r="C73" i="31" s="1"/>
  <c r="G73" i="31" s="1"/>
  <c r="D72" i="31"/>
  <c r="C72" i="31" s="1"/>
  <c r="G72" i="31" s="1"/>
  <c r="D71" i="31"/>
  <c r="C71" i="31" s="1"/>
  <c r="G71" i="31" s="1"/>
  <c r="D70" i="31"/>
  <c r="C70" i="31" s="1"/>
  <c r="D69" i="31"/>
  <c r="C69" i="31" s="1"/>
  <c r="G69" i="31" s="1"/>
  <c r="D68" i="31"/>
  <c r="C68" i="31" s="1"/>
  <c r="D67" i="31"/>
  <c r="C67" i="31" s="1"/>
  <c r="D66" i="31"/>
  <c r="C66" i="31" s="1"/>
  <c r="D65" i="31"/>
  <c r="C65" i="31" s="1"/>
  <c r="D64" i="31"/>
  <c r="C64" i="31" s="1"/>
  <c r="D63" i="31"/>
  <c r="C63" i="31" s="1"/>
  <c r="D62" i="31"/>
  <c r="C62" i="31" s="1"/>
  <c r="D61" i="31"/>
  <c r="C61" i="31" s="1"/>
  <c r="D60" i="31"/>
  <c r="C60" i="31" s="1"/>
  <c r="D59" i="31"/>
  <c r="C59" i="31" s="1"/>
  <c r="D58" i="31"/>
  <c r="C58" i="31" s="1"/>
  <c r="D57" i="31"/>
  <c r="C57" i="31" s="1"/>
  <c r="D56" i="31"/>
  <c r="C56" i="31" s="1"/>
  <c r="D55" i="31"/>
  <c r="C55" i="31" s="1"/>
  <c r="D54" i="31"/>
  <c r="C54" i="31" s="1"/>
  <c r="D53" i="31"/>
  <c r="C53" i="31" s="1"/>
  <c r="D52" i="31"/>
  <c r="C52" i="31" s="1"/>
  <c r="D51" i="31"/>
  <c r="C51" i="31" s="1"/>
  <c r="D50" i="31"/>
  <c r="C50" i="31" s="1"/>
  <c r="D49" i="31"/>
  <c r="C49" i="31" s="1"/>
  <c r="D48" i="31"/>
  <c r="C48" i="31" s="1"/>
  <c r="D47" i="31"/>
  <c r="C47" i="31" s="1"/>
  <c r="D46" i="31"/>
  <c r="C46" i="31" s="1"/>
  <c r="D45" i="31"/>
  <c r="C45" i="31" s="1"/>
  <c r="D44" i="31"/>
  <c r="C44" i="31" s="1"/>
  <c r="D43" i="31"/>
  <c r="C43" i="31" s="1"/>
  <c r="D42" i="31"/>
  <c r="C42" i="31" s="1"/>
  <c r="D41" i="31"/>
  <c r="C41" i="31" s="1"/>
  <c r="D40" i="31"/>
  <c r="C40" i="31" s="1"/>
  <c r="D39" i="31"/>
  <c r="C39" i="31" s="1"/>
  <c r="D38" i="31"/>
  <c r="C38" i="31" s="1"/>
  <c r="D37" i="31"/>
  <c r="C37" i="31" s="1"/>
  <c r="D36" i="31"/>
  <c r="C36" i="31" s="1"/>
  <c r="D35" i="31"/>
  <c r="C35" i="31" s="1"/>
  <c r="D34" i="31"/>
  <c r="C34" i="31" s="1"/>
  <c r="D33" i="31"/>
  <c r="C33" i="31" s="1"/>
  <c r="D32" i="31"/>
  <c r="C32" i="31" s="1"/>
  <c r="D31" i="31"/>
  <c r="C31" i="31" s="1"/>
  <c r="D30" i="31"/>
  <c r="C30" i="31" s="1"/>
  <c r="D29" i="31"/>
  <c r="C29" i="31" s="1"/>
  <c r="D28" i="31"/>
  <c r="C28" i="31" s="1"/>
  <c r="D27" i="31"/>
  <c r="C27" i="31" s="1"/>
  <c r="D26" i="31"/>
  <c r="C26" i="31" s="1"/>
  <c r="D25" i="31"/>
  <c r="C25" i="31" s="1"/>
  <c r="D24" i="31"/>
  <c r="C24" i="31" s="1"/>
  <c r="D23" i="31"/>
  <c r="C23" i="31" s="1"/>
  <c r="D22" i="31"/>
  <c r="C22" i="31" s="1"/>
  <c r="D21" i="31"/>
  <c r="C21" i="31" s="1"/>
  <c r="D20" i="31"/>
  <c r="C20" i="31" s="1"/>
  <c r="D19" i="31"/>
  <c r="C19" i="31" s="1"/>
  <c r="D18" i="31"/>
  <c r="C18" i="31" s="1"/>
  <c r="D17" i="31"/>
  <c r="C17" i="31" s="1"/>
  <c r="D16" i="31"/>
  <c r="C16" i="31" s="1"/>
  <c r="D15" i="31"/>
  <c r="C15" i="31" s="1"/>
  <c r="D14" i="31"/>
  <c r="C14" i="31" s="1"/>
  <c r="D13" i="31"/>
  <c r="C13" i="31" s="1"/>
  <c r="D12" i="31"/>
  <c r="C12" i="31" s="1"/>
  <c r="D11" i="31"/>
  <c r="C11" i="31" s="1"/>
  <c r="D10" i="31"/>
  <c r="C10" i="31" s="1"/>
  <c r="D9" i="31"/>
  <c r="C9" i="31" s="1"/>
  <c r="D8" i="31"/>
  <c r="C8" i="31" s="1"/>
  <c r="D7" i="31"/>
  <c r="C7" i="31" s="1"/>
  <c r="D6" i="31"/>
  <c r="C6" i="31" s="1"/>
  <c r="D5" i="31"/>
  <c r="C5" i="31" s="1"/>
  <c r="D4" i="31"/>
  <c r="C4" i="31" s="1"/>
  <c r="D3" i="31"/>
  <c r="C3" i="31" s="1"/>
  <c r="D76" i="30"/>
  <c r="C76" i="30" s="1"/>
  <c r="D75" i="30"/>
  <c r="C75" i="30" s="1"/>
  <c r="D74" i="30"/>
  <c r="C74" i="30" s="1"/>
  <c r="D73" i="30"/>
  <c r="C73" i="30" s="1"/>
  <c r="D72" i="30"/>
  <c r="C72" i="30" s="1"/>
  <c r="D71" i="30"/>
  <c r="C71" i="30" s="1"/>
  <c r="D70" i="30"/>
  <c r="C70" i="30" s="1"/>
  <c r="D69" i="30"/>
  <c r="C69" i="30" s="1"/>
  <c r="D68" i="30"/>
  <c r="C68" i="30" s="1"/>
  <c r="D67" i="30"/>
  <c r="C67" i="30" s="1"/>
  <c r="D66" i="30"/>
  <c r="C66" i="30" s="1"/>
  <c r="D65" i="30"/>
  <c r="C65" i="30" s="1"/>
  <c r="D64" i="30"/>
  <c r="C64" i="30" s="1"/>
  <c r="D63" i="30"/>
  <c r="C63" i="30" s="1"/>
  <c r="D62" i="30"/>
  <c r="C62" i="30" s="1"/>
  <c r="D61" i="30"/>
  <c r="C61" i="30" s="1"/>
  <c r="D60" i="30"/>
  <c r="C60" i="30" s="1"/>
  <c r="D59" i="30"/>
  <c r="C59" i="30" s="1"/>
  <c r="D58" i="30"/>
  <c r="C58" i="30" s="1"/>
  <c r="D57" i="30"/>
  <c r="C57" i="30" s="1"/>
  <c r="D56" i="30"/>
  <c r="C56" i="30" s="1"/>
  <c r="D55" i="30"/>
  <c r="C55" i="30" s="1"/>
  <c r="D54" i="30"/>
  <c r="C54" i="30" s="1"/>
  <c r="D53" i="30"/>
  <c r="C53" i="30" s="1"/>
  <c r="D52" i="30"/>
  <c r="C52" i="30" s="1"/>
  <c r="D51" i="30"/>
  <c r="C51" i="30" s="1"/>
  <c r="D50" i="30"/>
  <c r="C50" i="30" s="1"/>
  <c r="D49" i="30"/>
  <c r="C49" i="30" s="1"/>
  <c r="D48" i="30"/>
  <c r="C48" i="30" s="1"/>
  <c r="D47" i="30"/>
  <c r="C47" i="30" s="1"/>
  <c r="D46" i="30"/>
  <c r="C46" i="30" s="1"/>
  <c r="D45" i="30"/>
  <c r="C45" i="30" s="1"/>
  <c r="D44" i="30"/>
  <c r="C44" i="30" s="1"/>
  <c r="D43" i="30"/>
  <c r="C43" i="30" s="1"/>
  <c r="D42" i="30"/>
  <c r="C42" i="30" s="1"/>
  <c r="D41" i="30"/>
  <c r="C41" i="30" s="1"/>
  <c r="D40" i="30"/>
  <c r="C40" i="30" s="1"/>
  <c r="D39" i="30"/>
  <c r="C39" i="30" s="1"/>
  <c r="D38" i="30"/>
  <c r="C38" i="30" s="1"/>
  <c r="D37" i="30"/>
  <c r="C37" i="30" s="1"/>
  <c r="D36" i="30"/>
  <c r="C36" i="30" s="1"/>
  <c r="D35" i="30"/>
  <c r="C35" i="30" s="1"/>
  <c r="D34" i="30"/>
  <c r="C34" i="30" s="1"/>
  <c r="D33" i="30"/>
  <c r="C33" i="30" s="1"/>
  <c r="D32" i="30"/>
  <c r="C32" i="30" s="1"/>
  <c r="D31" i="30"/>
  <c r="C31" i="30" s="1"/>
  <c r="D30" i="30"/>
  <c r="C30" i="30" s="1"/>
  <c r="D29" i="30"/>
  <c r="C29" i="30" s="1"/>
  <c r="D28" i="30"/>
  <c r="C28" i="30" s="1"/>
  <c r="D27" i="30"/>
  <c r="C27" i="30" s="1"/>
  <c r="D26" i="30"/>
  <c r="C26" i="30" s="1"/>
  <c r="D25" i="30"/>
  <c r="C25" i="30" s="1"/>
  <c r="D24" i="30"/>
  <c r="C24" i="30" s="1"/>
  <c r="D23" i="30"/>
  <c r="C23" i="30" s="1"/>
  <c r="D22" i="30"/>
  <c r="C22" i="30" s="1"/>
  <c r="D21" i="30"/>
  <c r="C21" i="30" s="1"/>
  <c r="D20" i="30"/>
  <c r="C20" i="30" s="1"/>
  <c r="D19" i="30"/>
  <c r="C19" i="30" s="1"/>
  <c r="D18" i="30"/>
  <c r="C18" i="30" s="1"/>
  <c r="D17" i="30"/>
  <c r="C17" i="30" s="1"/>
  <c r="D16" i="30"/>
  <c r="C16" i="30" s="1"/>
  <c r="D15" i="30"/>
  <c r="C15" i="30" s="1"/>
  <c r="D14" i="30"/>
  <c r="C14" i="30" s="1"/>
  <c r="D13" i="30"/>
  <c r="C13" i="30" s="1"/>
  <c r="D12" i="30"/>
  <c r="C12" i="30" s="1"/>
  <c r="D11" i="30"/>
  <c r="C11" i="30" s="1"/>
  <c r="D10" i="30"/>
  <c r="C10" i="30" s="1"/>
  <c r="D9" i="30"/>
  <c r="C9" i="30" s="1"/>
  <c r="D8" i="30"/>
  <c r="C8" i="30" s="1"/>
  <c r="D7" i="30"/>
  <c r="C7" i="30" s="1"/>
  <c r="D6" i="30"/>
  <c r="C6" i="30" s="1"/>
  <c r="D5" i="30"/>
  <c r="C5" i="30" s="1"/>
  <c r="D4" i="30"/>
  <c r="C4" i="30" s="1"/>
  <c r="D3" i="30"/>
  <c r="C3" i="30" s="1"/>
  <c r="D76" i="29"/>
  <c r="C76" i="29" s="1"/>
  <c r="D75" i="29"/>
  <c r="C75" i="29" s="1"/>
  <c r="F75" i="29" s="1"/>
  <c r="D74" i="29"/>
  <c r="C74" i="29" s="1"/>
  <c r="F74" i="29" s="1"/>
  <c r="D73" i="29"/>
  <c r="C73" i="29" s="1"/>
  <c r="F73" i="29" s="1"/>
  <c r="D72" i="29"/>
  <c r="C72" i="29" s="1"/>
  <c r="F72" i="29" s="1"/>
  <c r="D71" i="29"/>
  <c r="C71" i="29" s="1"/>
  <c r="F71" i="29" s="1"/>
  <c r="D70" i="29"/>
  <c r="C70" i="29" s="1"/>
  <c r="F70" i="29" s="1"/>
  <c r="D69" i="29"/>
  <c r="C69" i="29" s="1"/>
  <c r="F69" i="29" s="1"/>
  <c r="D68" i="29"/>
  <c r="C68" i="29" s="1"/>
  <c r="F68" i="29" s="1"/>
  <c r="D67" i="29"/>
  <c r="C67" i="29" s="1"/>
  <c r="F67" i="29" s="1"/>
  <c r="D66" i="29"/>
  <c r="C66" i="29" s="1"/>
  <c r="F66" i="29" s="1"/>
  <c r="D65" i="29"/>
  <c r="C65" i="29" s="1"/>
  <c r="F65" i="29" s="1"/>
  <c r="D64" i="29"/>
  <c r="C64" i="29" s="1"/>
  <c r="F64" i="29" s="1"/>
  <c r="D63" i="29"/>
  <c r="C63" i="29" s="1"/>
  <c r="F63" i="29" s="1"/>
  <c r="D62" i="29"/>
  <c r="C62" i="29" s="1"/>
  <c r="F62" i="29" s="1"/>
  <c r="D61" i="29"/>
  <c r="C61" i="29" s="1"/>
  <c r="F61" i="29" s="1"/>
  <c r="D60" i="29"/>
  <c r="C60" i="29" s="1"/>
  <c r="F60" i="29" s="1"/>
  <c r="D59" i="29"/>
  <c r="C59" i="29" s="1"/>
  <c r="F59" i="29" s="1"/>
  <c r="D58" i="29"/>
  <c r="C58" i="29" s="1"/>
  <c r="F58" i="29" s="1"/>
  <c r="D57" i="29"/>
  <c r="C57" i="29" s="1"/>
  <c r="F57" i="29" s="1"/>
  <c r="D56" i="29"/>
  <c r="C56" i="29" s="1"/>
  <c r="F56" i="29" s="1"/>
  <c r="D55" i="29"/>
  <c r="C55" i="29" s="1"/>
  <c r="F55" i="29" s="1"/>
  <c r="D54" i="29"/>
  <c r="C54" i="29" s="1"/>
  <c r="F54" i="29" s="1"/>
  <c r="D53" i="29"/>
  <c r="C53" i="29" s="1"/>
  <c r="F53" i="29" s="1"/>
  <c r="D52" i="29"/>
  <c r="C52" i="29" s="1"/>
  <c r="F52" i="29" s="1"/>
  <c r="D51" i="29"/>
  <c r="C51" i="29" s="1"/>
  <c r="F51" i="29" s="1"/>
  <c r="D50" i="29"/>
  <c r="C50" i="29" s="1"/>
  <c r="F50" i="29" s="1"/>
  <c r="D49" i="29"/>
  <c r="C49" i="29" s="1"/>
  <c r="F49" i="29" s="1"/>
  <c r="D48" i="29"/>
  <c r="C48" i="29" s="1"/>
  <c r="F48" i="29" s="1"/>
  <c r="D47" i="29"/>
  <c r="C47" i="29" s="1"/>
  <c r="F47" i="29" s="1"/>
  <c r="D46" i="29"/>
  <c r="C46" i="29" s="1"/>
  <c r="F46" i="29" s="1"/>
  <c r="D45" i="29"/>
  <c r="C45" i="29" s="1"/>
  <c r="F45" i="29" s="1"/>
  <c r="D44" i="29"/>
  <c r="C44" i="29" s="1"/>
  <c r="F44" i="29" s="1"/>
  <c r="D43" i="29"/>
  <c r="C43" i="29" s="1"/>
  <c r="F43" i="29" s="1"/>
  <c r="D42" i="29"/>
  <c r="C42" i="29" s="1"/>
  <c r="F42" i="29" s="1"/>
  <c r="D41" i="29"/>
  <c r="C41" i="29" s="1"/>
  <c r="F41" i="29" s="1"/>
  <c r="D40" i="29"/>
  <c r="C40" i="29" s="1"/>
  <c r="F40" i="29" s="1"/>
  <c r="D39" i="29"/>
  <c r="C39" i="29" s="1"/>
  <c r="F39" i="29" s="1"/>
  <c r="D38" i="29"/>
  <c r="C38" i="29" s="1"/>
  <c r="F38" i="29" s="1"/>
  <c r="D37" i="29"/>
  <c r="C37" i="29" s="1"/>
  <c r="F37" i="29" s="1"/>
  <c r="D36" i="29"/>
  <c r="C36" i="29" s="1"/>
  <c r="F36" i="29" s="1"/>
  <c r="D35" i="29"/>
  <c r="C35" i="29" s="1"/>
  <c r="F35" i="29" s="1"/>
  <c r="D34" i="29"/>
  <c r="C34" i="29" s="1"/>
  <c r="F34" i="29" s="1"/>
  <c r="D33" i="29"/>
  <c r="C33" i="29" s="1"/>
  <c r="F33" i="29" s="1"/>
  <c r="D32" i="29"/>
  <c r="C32" i="29" s="1"/>
  <c r="F32" i="29" s="1"/>
  <c r="D31" i="29"/>
  <c r="C31" i="29" s="1"/>
  <c r="F31" i="29" s="1"/>
  <c r="D30" i="29"/>
  <c r="C30" i="29" s="1"/>
  <c r="F30" i="29" s="1"/>
  <c r="D29" i="29"/>
  <c r="C29" i="29" s="1"/>
  <c r="F29" i="29" s="1"/>
  <c r="D28" i="29"/>
  <c r="C28" i="29" s="1"/>
  <c r="F28" i="29" s="1"/>
  <c r="D27" i="29"/>
  <c r="C27" i="29" s="1"/>
  <c r="F27" i="29" s="1"/>
  <c r="D26" i="29"/>
  <c r="C26" i="29" s="1"/>
  <c r="F26" i="29" s="1"/>
  <c r="D25" i="29"/>
  <c r="C25" i="29" s="1"/>
  <c r="F25" i="29" s="1"/>
  <c r="D24" i="29"/>
  <c r="C24" i="29" s="1"/>
  <c r="F24" i="29" s="1"/>
  <c r="D23" i="29"/>
  <c r="C23" i="29" s="1"/>
  <c r="F23" i="29" s="1"/>
  <c r="D22" i="29"/>
  <c r="C22" i="29" s="1"/>
  <c r="F22" i="29" s="1"/>
  <c r="D21" i="29"/>
  <c r="C21" i="29" s="1"/>
  <c r="F21" i="29" s="1"/>
  <c r="D20" i="29"/>
  <c r="C20" i="29" s="1"/>
  <c r="F20" i="29" s="1"/>
  <c r="D19" i="29"/>
  <c r="C19" i="29" s="1"/>
  <c r="F19" i="29" s="1"/>
  <c r="D18" i="29"/>
  <c r="C18" i="29" s="1"/>
  <c r="F18" i="29" s="1"/>
  <c r="D17" i="29"/>
  <c r="C17" i="29" s="1"/>
  <c r="F17" i="29" s="1"/>
  <c r="D16" i="29"/>
  <c r="C16" i="29" s="1"/>
  <c r="F16" i="29" s="1"/>
  <c r="D15" i="29"/>
  <c r="C15" i="29" s="1"/>
  <c r="F15" i="29" s="1"/>
  <c r="D14" i="29"/>
  <c r="C14" i="29" s="1"/>
  <c r="F14" i="29" s="1"/>
  <c r="D13" i="29"/>
  <c r="C13" i="29" s="1"/>
  <c r="F13" i="29" s="1"/>
  <c r="D12" i="29"/>
  <c r="C12" i="29" s="1"/>
  <c r="F12" i="29" s="1"/>
  <c r="D11" i="29"/>
  <c r="C11" i="29" s="1"/>
  <c r="F11" i="29" s="1"/>
  <c r="D10" i="29"/>
  <c r="C10" i="29" s="1"/>
  <c r="F10" i="29" s="1"/>
  <c r="D9" i="29"/>
  <c r="C9" i="29" s="1"/>
  <c r="F9" i="29" s="1"/>
  <c r="D8" i="29"/>
  <c r="C8" i="29" s="1"/>
  <c r="F8" i="29" s="1"/>
  <c r="D7" i="29"/>
  <c r="C7" i="29" s="1"/>
  <c r="F7" i="29" s="1"/>
  <c r="D6" i="29"/>
  <c r="C6" i="29" s="1"/>
  <c r="F6" i="29" s="1"/>
  <c r="D5" i="29"/>
  <c r="C5" i="29" s="1"/>
  <c r="F5" i="29" s="1"/>
  <c r="D4" i="29"/>
  <c r="C4" i="29" s="1"/>
  <c r="F4" i="29" s="1"/>
  <c r="D3" i="29"/>
  <c r="C3" i="29" s="1"/>
  <c r="F3" i="29" s="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D59" i="35"/>
  <c r="C59" i="35" s="1"/>
  <c r="D58" i="35"/>
  <c r="C58" i="35" s="1"/>
  <c r="D57" i="35"/>
  <c r="C57" i="35" s="1"/>
  <c r="D56" i="35"/>
  <c r="C56" i="35" s="1"/>
  <c r="D55" i="35"/>
  <c r="C55" i="35" s="1"/>
  <c r="D54" i="35"/>
  <c r="C54" i="35" s="1"/>
  <c r="D53" i="35"/>
  <c r="C53" i="35" s="1"/>
  <c r="D52" i="35"/>
  <c r="C52" i="35" s="1"/>
  <c r="D51" i="35"/>
  <c r="C51" i="35" s="1"/>
  <c r="D50" i="35"/>
  <c r="C50" i="35" s="1"/>
  <c r="D49" i="35"/>
  <c r="C49" i="35" s="1"/>
  <c r="D48" i="35"/>
  <c r="C48" i="35" s="1"/>
  <c r="D47" i="35"/>
  <c r="C47" i="35" s="1"/>
  <c r="D46" i="35"/>
  <c r="C46" i="35" s="1"/>
  <c r="D45" i="35"/>
  <c r="C45" i="35" s="1"/>
  <c r="D44" i="35"/>
  <c r="C44" i="35" s="1"/>
  <c r="D43" i="35"/>
  <c r="C43" i="35" s="1"/>
  <c r="D42" i="35"/>
  <c r="C42" i="35" s="1"/>
  <c r="D41" i="35"/>
  <c r="C41" i="35" s="1"/>
  <c r="D40" i="35"/>
  <c r="C40" i="35" s="1"/>
  <c r="D39" i="35"/>
  <c r="C39" i="35" s="1"/>
  <c r="D38" i="35"/>
  <c r="C38" i="35" s="1"/>
  <c r="D37" i="35"/>
  <c r="C37" i="35" s="1"/>
  <c r="D36" i="35"/>
  <c r="C36" i="35" s="1"/>
  <c r="D35" i="35"/>
  <c r="C35" i="35" s="1"/>
  <c r="D34" i="35"/>
  <c r="C34" i="35" s="1"/>
  <c r="D33" i="35"/>
  <c r="C33" i="35" s="1"/>
  <c r="D32" i="35"/>
  <c r="C32" i="35" s="1"/>
  <c r="D31" i="35"/>
  <c r="C31" i="35" s="1"/>
  <c r="D30" i="35"/>
  <c r="C30" i="35" s="1"/>
  <c r="D29" i="35"/>
  <c r="C29" i="35" s="1"/>
  <c r="D28" i="35"/>
  <c r="C28" i="35" s="1"/>
  <c r="D27" i="35"/>
  <c r="C27" i="35" s="1"/>
  <c r="D26" i="35"/>
  <c r="C26" i="35" s="1"/>
  <c r="D25" i="35"/>
  <c r="C25" i="35" s="1"/>
  <c r="D24" i="35"/>
  <c r="C24" i="35" s="1"/>
  <c r="D23" i="35"/>
  <c r="C23" i="35" s="1"/>
  <c r="D22" i="35"/>
  <c r="C22" i="35" s="1"/>
  <c r="D21" i="35"/>
  <c r="C21" i="35" s="1"/>
  <c r="D20" i="35"/>
  <c r="C20" i="35" s="1"/>
  <c r="D19" i="35"/>
  <c r="C19" i="35" s="1"/>
  <c r="D18" i="35"/>
  <c r="C18" i="35" s="1"/>
  <c r="D17" i="35"/>
  <c r="C17" i="35" s="1"/>
  <c r="D16" i="35"/>
  <c r="C16" i="35" s="1"/>
  <c r="D15" i="35"/>
  <c r="C15" i="35" s="1"/>
  <c r="D14" i="35"/>
  <c r="C14" i="35" s="1"/>
  <c r="D13" i="35"/>
  <c r="C13" i="35" s="1"/>
  <c r="D12" i="35"/>
  <c r="C12" i="35" s="1"/>
  <c r="D11" i="35"/>
  <c r="C11" i="35" s="1"/>
  <c r="D10" i="35"/>
  <c r="C10" i="35" s="1"/>
  <c r="D9" i="35"/>
  <c r="C9" i="35" s="1"/>
  <c r="D8" i="35"/>
  <c r="C8" i="35" s="1"/>
  <c r="D7" i="35"/>
  <c r="C7" i="35" s="1"/>
  <c r="D6" i="35"/>
  <c r="C6" i="35" s="1"/>
  <c r="D5" i="35"/>
  <c r="C5" i="35" s="1"/>
  <c r="D4" i="35"/>
  <c r="C4" i="35" s="1"/>
  <c r="D3" i="35"/>
  <c r="C3" i="35" s="1"/>
  <c r="D59" i="34"/>
  <c r="C59" i="34" s="1"/>
  <c r="D58" i="34"/>
  <c r="C58" i="34" s="1"/>
  <c r="D57" i="34"/>
  <c r="C57" i="34" s="1"/>
  <c r="D56" i="34"/>
  <c r="C56" i="34" s="1"/>
  <c r="D55" i="34"/>
  <c r="C55" i="34" s="1"/>
  <c r="D54" i="34"/>
  <c r="C54" i="34" s="1"/>
  <c r="D53" i="34"/>
  <c r="C53" i="34" s="1"/>
  <c r="D52" i="34"/>
  <c r="C52" i="34" s="1"/>
  <c r="D51" i="34"/>
  <c r="C51" i="34" s="1"/>
  <c r="D50" i="34"/>
  <c r="C50" i="34" s="1"/>
  <c r="D49" i="34"/>
  <c r="C49" i="34" s="1"/>
  <c r="D48" i="34"/>
  <c r="C48" i="34" s="1"/>
  <c r="D47" i="34"/>
  <c r="C47" i="34" s="1"/>
  <c r="D46" i="34"/>
  <c r="C46" i="34" s="1"/>
  <c r="D45" i="34"/>
  <c r="C45" i="34" s="1"/>
  <c r="D44" i="34"/>
  <c r="C44" i="34" s="1"/>
  <c r="D43" i="34"/>
  <c r="C43" i="34" s="1"/>
  <c r="D42" i="34"/>
  <c r="C42" i="34" s="1"/>
  <c r="D41" i="34"/>
  <c r="C41" i="34" s="1"/>
  <c r="D40" i="34"/>
  <c r="C40" i="34" s="1"/>
  <c r="D39" i="34"/>
  <c r="C39" i="34" s="1"/>
  <c r="D38" i="34"/>
  <c r="C38" i="34" s="1"/>
  <c r="D37" i="34"/>
  <c r="C37" i="34" s="1"/>
  <c r="D36" i="34"/>
  <c r="C36" i="34" s="1"/>
  <c r="D35" i="34"/>
  <c r="C35" i="34" s="1"/>
  <c r="D34" i="34"/>
  <c r="C34" i="34" s="1"/>
  <c r="D33" i="34"/>
  <c r="C33" i="34" s="1"/>
  <c r="D32" i="34"/>
  <c r="C32" i="34" s="1"/>
  <c r="D31" i="34"/>
  <c r="C31" i="34" s="1"/>
  <c r="D30" i="34"/>
  <c r="C30" i="34" s="1"/>
  <c r="D29" i="34"/>
  <c r="C29" i="34" s="1"/>
  <c r="D28" i="34"/>
  <c r="C28" i="34" s="1"/>
  <c r="D27" i="34"/>
  <c r="C27" i="34" s="1"/>
  <c r="D26" i="34"/>
  <c r="C26" i="34" s="1"/>
  <c r="D25" i="34"/>
  <c r="C25" i="34" s="1"/>
  <c r="D24" i="34"/>
  <c r="C24" i="34" s="1"/>
  <c r="D23" i="34"/>
  <c r="C23" i="34" s="1"/>
  <c r="D22" i="34"/>
  <c r="C22" i="34" s="1"/>
  <c r="D21" i="34"/>
  <c r="C21" i="34" s="1"/>
  <c r="D20" i="34"/>
  <c r="C20" i="34" s="1"/>
  <c r="D19" i="34"/>
  <c r="C19" i="34" s="1"/>
  <c r="D18" i="34"/>
  <c r="C18" i="34" s="1"/>
  <c r="D17" i="34"/>
  <c r="C17" i="34" s="1"/>
  <c r="D16" i="34"/>
  <c r="C16" i="34" s="1"/>
  <c r="D15" i="34"/>
  <c r="C15" i="34" s="1"/>
  <c r="D14" i="34"/>
  <c r="C14" i="34" s="1"/>
  <c r="D13" i="34"/>
  <c r="C13" i="34" s="1"/>
  <c r="D12" i="34"/>
  <c r="C12" i="34" s="1"/>
  <c r="D11" i="34"/>
  <c r="C11" i="34" s="1"/>
  <c r="D10" i="34"/>
  <c r="C10" i="34" s="1"/>
  <c r="D9" i="34"/>
  <c r="C9" i="34" s="1"/>
  <c r="D8" i="34"/>
  <c r="C8" i="34" s="1"/>
  <c r="D7" i="34"/>
  <c r="C7" i="34" s="1"/>
  <c r="D6" i="34"/>
  <c r="C6" i="34" s="1"/>
  <c r="D5" i="34"/>
  <c r="C5" i="34" s="1"/>
  <c r="D4" i="34"/>
  <c r="C4" i="34" s="1"/>
  <c r="D3" i="34"/>
  <c r="C3" i="34" s="1"/>
  <c r="D59" i="33"/>
  <c r="C59" i="33" s="1"/>
  <c r="D58" i="33"/>
  <c r="C58" i="33" s="1"/>
  <c r="D57" i="33"/>
  <c r="C57" i="33" s="1"/>
  <c r="D56" i="33"/>
  <c r="C56" i="33" s="1"/>
  <c r="D55" i="33"/>
  <c r="C55" i="33" s="1"/>
  <c r="D54" i="33"/>
  <c r="C54" i="33" s="1"/>
  <c r="D53" i="33"/>
  <c r="C53" i="33" s="1"/>
  <c r="D52" i="33"/>
  <c r="C52" i="33" s="1"/>
  <c r="D51" i="33"/>
  <c r="C51" i="33" s="1"/>
  <c r="D50" i="33"/>
  <c r="C50" i="33" s="1"/>
  <c r="D49" i="33"/>
  <c r="C49" i="33" s="1"/>
  <c r="D48" i="33"/>
  <c r="C48" i="33" s="1"/>
  <c r="D47" i="33"/>
  <c r="C47" i="33" s="1"/>
  <c r="D46" i="33"/>
  <c r="C46" i="33" s="1"/>
  <c r="D45" i="33"/>
  <c r="C45" i="33" s="1"/>
  <c r="D44" i="33"/>
  <c r="C44" i="33" s="1"/>
  <c r="D43" i="33"/>
  <c r="C43" i="33" s="1"/>
  <c r="D42" i="33"/>
  <c r="C42" i="33" s="1"/>
  <c r="D41" i="33"/>
  <c r="C41" i="33" s="1"/>
  <c r="D40" i="33"/>
  <c r="C40" i="33" s="1"/>
  <c r="D39" i="33"/>
  <c r="C39" i="33" s="1"/>
  <c r="D38" i="33"/>
  <c r="C38" i="33" s="1"/>
  <c r="D37" i="33"/>
  <c r="C37" i="33" s="1"/>
  <c r="D36" i="33"/>
  <c r="C36" i="33" s="1"/>
  <c r="D35" i="33"/>
  <c r="C35" i="33" s="1"/>
  <c r="D34" i="33"/>
  <c r="C34" i="33" s="1"/>
  <c r="D33" i="33"/>
  <c r="C33" i="33" s="1"/>
  <c r="D32" i="33"/>
  <c r="C32" i="33" s="1"/>
  <c r="D31" i="33"/>
  <c r="C31" i="33" s="1"/>
  <c r="D30" i="33"/>
  <c r="C30" i="33" s="1"/>
  <c r="D29" i="33"/>
  <c r="C29" i="33" s="1"/>
  <c r="D28" i="33"/>
  <c r="C28" i="33" s="1"/>
  <c r="D27" i="33"/>
  <c r="C27" i="33" s="1"/>
  <c r="D26" i="33"/>
  <c r="C26" i="33" s="1"/>
  <c r="D25" i="33"/>
  <c r="C25" i="33" s="1"/>
  <c r="D24" i="33"/>
  <c r="C24" i="33" s="1"/>
  <c r="D23" i="33"/>
  <c r="C23" i="33" s="1"/>
  <c r="D22" i="33"/>
  <c r="C22" i="33" s="1"/>
  <c r="D21" i="33"/>
  <c r="C21" i="33" s="1"/>
  <c r="D20" i="33"/>
  <c r="C20" i="33" s="1"/>
  <c r="D19" i="33"/>
  <c r="C19" i="33" s="1"/>
  <c r="D18" i="33"/>
  <c r="C18" i="33" s="1"/>
  <c r="D17" i="33"/>
  <c r="C17" i="33" s="1"/>
  <c r="D16" i="33"/>
  <c r="C16" i="33" s="1"/>
  <c r="D15" i="33"/>
  <c r="C15" i="33" s="1"/>
  <c r="D14" i="33"/>
  <c r="C14" i="33" s="1"/>
  <c r="D13" i="33"/>
  <c r="C13" i="33" s="1"/>
  <c r="D12" i="33"/>
  <c r="C12" i="33" s="1"/>
  <c r="D11" i="33"/>
  <c r="C11" i="33" s="1"/>
  <c r="D10" i="33"/>
  <c r="C10" i="33" s="1"/>
  <c r="D9" i="33"/>
  <c r="C9" i="33" s="1"/>
  <c r="D8" i="33"/>
  <c r="C8" i="33" s="1"/>
  <c r="D7" i="33"/>
  <c r="C7" i="33" s="1"/>
  <c r="D6" i="33"/>
  <c r="C6" i="33" s="1"/>
  <c r="D5" i="33"/>
  <c r="C5" i="33" s="1"/>
  <c r="D4" i="33"/>
  <c r="C4" i="33" s="1"/>
  <c r="D3" i="33"/>
  <c r="C3" i="33" s="1"/>
  <c r="D59" i="32"/>
  <c r="C59" i="32" s="1"/>
  <c r="F67" i="45" s="1"/>
  <c r="D58" i="32"/>
  <c r="C58" i="32" s="1"/>
  <c r="D57" i="32"/>
  <c r="C57" i="32" s="1"/>
  <c r="D56" i="32"/>
  <c r="C56" i="32" s="1"/>
  <c r="D55" i="32"/>
  <c r="C55" i="32" s="1"/>
  <c r="D54" i="32"/>
  <c r="C54" i="32" s="1"/>
  <c r="D53" i="32"/>
  <c r="C53" i="32" s="1"/>
  <c r="D52" i="32"/>
  <c r="C52" i="32" s="1"/>
  <c r="D51" i="32"/>
  <c r="C51" i="32" s="1"/>
  <c r="D50" i="32"/>
  <c r="C50" i="32" s="1"/>
  <c r="D49" i="32"/>
  <c r="C49" i="32" s="1"/>
  <c r="D48" i="32"/>
  <c r="C48" i="32" s="1"/>
  <c r="D47" i="32"/>
  <c r="C47" i="32" s="1"/>
  <c r="D46" i="32"/>
  <c r="C46" i="32" s="1"/>
  <c r="D45" i="32"/>
  <c r="C45" i="32" s="1"/>
  <c r="D44" i="32"/>
  <c r="C44" i="32" s="1"/>
  <c r="D43" i="32"/>
  <c r="C43" i="32" s="1"/>
  <c r="D42" i="32"/>
  <c r="C42" i="32" s="1"/>
  <c r="D41" i="32"/>
  <c r="C41" i="32" s="1"/>
  <c r="D40" i="32"/>
  <c r="C40" i="32" s="1"/>
  <c r="D39" i="32"/>
  <c r="C39" i="32" s="1"/>
  <c r="D38" i="32"/>
  <c r="C38" i="32" s="1"/>
  <c r="D37" i="32"/>
  <c r="C37" i="32" s="1"/>
  <c r="D36" i="32"/>
  <c r="C36" i="32" s="1"/>
  <c r="D35" i="32"/>
  <c r="C35" i="32" s="1"/>
  <c r="D34" i="32"/>
  <c r="C34" i="32" s="1"/>
  <c r="D33" i="32"/>
  <c r="C33" i="32" s="1"/>
  <c r="D32" i="32"/>
  <c r="C32" i="32" s="1"/>
  <c r="D31" i="32"/>
  <c r="C31" i="32" s="1"/>
  <c r="D30" i="32"/>
  <c r="C30" i="32" s="1"/>
  <c r="D29" i="32"/>
  <c r="C29" i="32" s="1"/>
  <c r="D28" i="32"/>
  <c r="C28" i="32" s="1"/>
  <c r="D27" i="32"/>
  <c r="C27" i="32" s="1"/>
  <c r="D26" i="32"/>
  <c r="C26" i="32" s="1"/>
  <c r="D25" i="32"/>
  <c r="C25" i="32" s="1"/>
  <c r="D24" i="32"/>
  <c r="C24" i="32" s="1"/>
  <c r="D23" i="32"/>
  <c r="C23" i="32" s="1"/>
  <c r="D22" i="32"/>
  <c r="C22" i="32" s="1"/>
  <c r="D21" i="32"/>
  <c r="C21" i="32" s="1"/>
  <c r="D20" i="32"/>
  <c r="C20" i="32" s="1"/>
  <c r="D19" i="32"/>
  <c r="C19" i="32" s="1"/>
  <c r="D18" i="32"/>
  <c r="C18" i="32" s="1"/>
  <c r="D17" i="32"/>
  <c r="C17" i="32" s="1"/>
  <c r="D16" i="32"/>
  <c r="C16" i="32" s="1"/>
  <c r="D15" i="32"/>
  <c r="C15" i="32" s="1"/>
  <c r="D14" i="32"/>
  <c r="C14" i="32" s="1"/>
  <c r="D13" i="32"/>
  <c r="C13" i="32" s="1"/>
  <c r="D12" i="32"/>
  <c r="C12" i="32" s="1"/>
  <c r="D11" i="32"/>
  <c r="C11" i="32" s="1"/>
  <c r="D10" i="32"/>
  <c r="C10" i="32" s="1"/>
  <c r="D9" i="32"/>
  <c r="C9" i="32" s="1"/>
  <c r="D8" i="32"/>
  <c r="C8" i="32" s="1"/>
  <c r="D7" i="32"/>
  <c r="C7" i="32" s="1"/>
  <c r="D6" i="32"/>
  <c r="C6" i="32" s="1"/>
  <c r="D5" i="32"/>
  <c r="C5" i="32" s="1"/>
  <c r="D4" i="32"/>
  <c r="C4" i="32" s="1"/>
  <c r="D3" i="32"/>
  <c r="C3" i="32" s="1"/>
  <c r="D76" i="35"/>
  <c r="C76" i="35" s="1"/>
  <c r="D74" i="35"/>
  <c r="C74" i="35" s="1"/>
  <c r="D73" i="35"/>
  <c r="C73" i="35" s="1"/>
  <c r="D72" i="35"/>
  <c r="C72" i="35" s="1"/>
  <c r="D71" i="35"/>
  <c r="C71" i="35" s="1"/>
  <c r="D70" i="35"/>
  <c r="C70" i="35" s="1"/>
  <c r="D69" i="35"/>
  <c r="C69" i="35" s="1"/>
  <c r="D68" i="35"/>
  <c r="C68" i="35" s="1"/>
  <c r="D67" i="35"/>
  <c r="C67" i="35" s="1"/>
  <c r="D66" i="35"/>
  <c r="C66" i="35" s="1"/>
  <c r="D65" i="35"/>
  <c r="C65" i="35" s="1"/>
  <c r="D64" i="35"/>
  <c r="C64" i="35" s="1"/>
  <c r="D63" i="35"/>
  <c r="C63" i="35" s="1"/>
  <c r="D62" i="35"/>
  <c r="C62" i="35" s="1"/>
  <c r="D61" i="35"/>
  <c r="C61" i="35" s="1"/>
  <c r="D60" i="35"/>
  <c r="C60" i="35" s="1"/>
  <c r="D76" i="34"/>
  <c r="C76" i="34" s="1"/>
  <c r="D75" i="34"/>
  <c r="C75" i="34" s="1"/>
  <c r="D74" i="34"/>
  <c r="C74" i="34" s="1"/>
  <c r="D73" i="34"/>
  <c r="C73" i="34" s="1"/>
  <c r="D72" i="34"/>
  <c r="C72" i="34" s="1"/>
  <c r="D71" i="34"/>
  <c r="C71" i="34" s="1"/>
  <c r="D70" i="34"/>
  <c r="C70" i="34" s="1"/>
  <c r="D69" i="34"/>
  <c r="C69" i="34" s="1"/>
  <c r="D68" i="34"/>
  <c r="C68" i="34" s="1"/>
  <c r="D67" i="34"/>
  <c r="C67" i="34" s="1"/>
  <c r="D66" i="34"/>
  <c r="C66" i="34" s="1"/>
  <c r="D65" i="34"/>
  <c r="C65" i="34" s="1"/>
  <c r="D64" i="34"/>
  <c r="C64" i="34" s="1"/>
  <c r="D63" i="34"/>
  <c r="C63" i="34" s="1"/>
  <c r="D62" i="34"/>
  <c r="C62" i="34" s="1"/>
  <c r="D61" i="34"/>
  <c r="C61" i="34" s="1"/>
  <c r="D60" i="34"/>
  <c r="C60" i="34" s="1"/>
  <c r="D76" i="33"/>
  <c r="C76" i="33" s="1"/>
  <c r="D75" i="33"/>
  <c r="C75" i="33" s="1"/>
  <c r="D74" i="33"/>
  <c r="C74" i="33" s="1"/>
  <c r="D73" i="33"/>
  <c r="C73" i="33" s="1"/>
  <c r="D72" i="33"/>
  <c r="C72" i="33" s="1"/>
  <c r="D71" i="33"/>
  <c r="C71" i="33" s="1"/>
  <c r="D70" i="33"/>
  <c r="C70" i="33" s="1"/>
  <c r="D69" i="33"/>
  <c r="C69" i="33" s="1"/>
  <c r="D68" i="33"/>
  <c r="C68" i="33" s="1"/>
  <c r="D67" i="33"/>
  <c r="C67" i="33" s="1"/>
  <c r="D66" i="33"/>
  <c r="C66" i="33" s="1"/>
  <c r="D65" i="33"/>
  <c r="C65" i="33" s="1"/>
  <c r="D64" i="33"/>
  <c r="C64" i="33" s="1"/>
  <c r="D63" i="33"/>
  <c r="C63" i="33" s="1"/>
  <c r="D62" i="33"/>
  <c r="C62" i="33" s="1"/>
  <c r="D61" i="33"/>
  <c r="C61" i="33" s="1"/>
  <c r="D60" i="33"/>
  <c r="C60" i="33" s="1"/>
  <c r="D76" i="32"/>
  <c r="C76" i="32" s="1"/>
  <c r="D75" i="32"/>
  <c r="C75" i="32" s="1"/>
  <c r="F83" i="45" s="1"/>
  <c r="D74" i="32"/>
  <c r="C74" i="32" s="1"/>
  <c r="F82" i="45" s="1"/>
  <c r="D73" i="32"/>
  <c r="C73" i="32" s="1"/>
  <c r="F81" i="45" s="1"/>
  <c r="D72" i="32"/>
  <c r="C72" i="32" s="1"/>
  <c r="F80" i="45" s="1"/>
  <c r="D71" i="32"/>
  <c r="C71" i="32" s="1"/>
  <c r="F79" i="45" s="1"/>
  <c r="D70" i="32"/>
  <c r="C70" i="32" s="1"/>
  <c r="F78" i="45" s="1"/>
  <c r="D69" i="32"/>
  <c r="C69" i="32" s="1"/>
  <c r="F77" i="45" s="1"/>
  <c r="D68" i="32"/>
  <c r="C68" i="32" s="1"/>
  <c r="F76" i="45" s="1"/>
  <c r="D67" i="32"/>
  <c r="C67" i="32" s="1"/>
  <c r="F75" i="45" s="1"/>
  <c r="D66" i="32"/>
  <c r="C66" i="32" s="1"/>
  <c r="F74" i="45" s="1"/>
  <c r="D65" i="32"/>
  <c r="C65" i="32" s="1"/>
  <c r="F73" i="45" s="1"/>
  <c r="D64" i="32"/>
  <c r="C64" i="32" s="1"/>
  <c r="F72" i="45" s="1"/>
  <c r="D63" i="32"/>
  <c r="C63" i="32" s="1"/>
  <c r="F71" i="45" s="1"/>
  <c r="D62" i="32"/>
  <c r="C62" i="32" s="1"/>
  <c r="F70" i="45" s="1"/>
  <c r="D61" i="32"/>
  <c r="C61" i="32" s="1"/>
  <c r="F69" i="45" s="1"/>
  <c r="D60" i="32"/>
  <c r="C60" i="32" s="1"/>
  <c r="F68" i="45" s="1"/>
  <c r="D92" i="36"/>
  <c r="C92" i="36" s="1"/>
  <c r="D91" i="36"/>
  <c r="C91" i="36" s="1"/>
  <c r="D90" i="36"/>
  <c r="C90" i="36" s="1"/>
  <c r="D89" i="36"/>
  <c r="C89" i="36" s="1"/>
  <c r="D88" i="36"/>
  <c r="C88" i="36" s="1"/>
  <c r="D87" i="36"/>
  <c r="C87" i="36" s="1"/>
  <c r="D86" i="36"/>
  <c r="C86" i="36" s="1"/>
  <c r="D85" i="36"/>
  <c r="C85" i="36" s="1"/>
  <c r="D84" i="36"/>
  <c r="C84" i="36" s="1"/>
  <c r="D83" i="36"/>
  <c r="C83" i="36" s="1"/>
  <c r="D82" i="36"/>
  <c r="C82" i="36" s="1"/>
  <c r="D81" i="36"/>
  <c r="C81" i="36" s="1"/>
  <c r="D80" i="36"/>
  <c r="C80" i="36" s="1"/>
  <c r="D79" i="36"/>
  <c r="C79" i="36" s="1"/>
  <c r="D78" i="36"/>
  <c r="C78" i="36" s="1"/>
  <c r="D77" i="36"/>
  <c r="C77" i="36" s="1"/>
  <c r="D92" i="35"/>
  <c r="C92" i="35" s="1"/>
  <c r="D91" i="35"/>
  <c r="C91" i="35" s="1"/>
  <c r="D90" i="35"/>
  <c r="C90" i="35" s="1"/>
  <c r="D89" i="35"/>
  <c r="C89" i="35" s="1"/>
  <c r="D88" i="35"/>
  <c r="C88" i="35" s="1"/>
  <c r="D87" i="35"/>
  <c r="C87" i="35" s="1"/>
  <c r="D86" i="35"/>
  <c r="C86" i="35" s="1"/>
  <c r="D85" i="35"/>
  <c r="C85" i="35" s="1"/>
  <c r="D84" i="35"/>
  <c r="C84" i="35" s="1"/>
  <c r="D83" i="35"/>
  <c r="C83" i="35" s="1"/>
  <c r="D82" i="35"/>
  <c r="C82" i="35" s="1"/>
  <c r="D81" i="35"/>
  <c r="C81" i="35" s="1"/>
  <c r="D80" i="35"/>
  <c r="C80" i="35" s="1"/>
  <c r="D79" i="35"/>
  <c r="C79" i="35" s="1"/>
  <c r="D78" i="35"/>
  <c r="C78" i="35" s="1"/>
  <c r="D77" i="35"/>
  <c r="C77" i="35" s="1"/>
  <c r="D92" i="34"/>
  <c r="C92" i="34" s="1"/>
  <c r="D91" i="34"/>
  <c r="C91" i="34" s="1"/>
  <c r="D90" i="34"/>
  <c r="C90" i="34" s="1"/>
  <c r="D89" i="34"/>
  <c r="C89" i="34" s="1"/>
  <c r="D88" i="34"/>
  <c r="C88" i="34" s="1"/>
  <c r="D87" i="34"/>
  <c r="C87" i="34" s="1"/>
  <c r="D86" i="34"/>
  <c r="C86" i="34" s="1"/>
  <c r="D85" i="34"/>
  <c r="C85" i="34" s="1"/>
  <c r="D84" i="34"/>
  <c r="C84" i="34" s="1"/>
  <c r="D83" i="34"/>
  <c r="C83" i="34" s="1"/>
  <c r="D82" i="34"/>
  <c r="C82" i="34" s="1"/>
  <c r="D81" i="34"/>
  <c r="C81" i="34" s="1"/>
  <c r="D80" i="34"/>
  <c r="C80" i="34" s="1"/>
  <c r="D79" i="34"/>
  <c r="C79" i="34" s="1"/>
  <c r="D78" i="34"/>
  <c r="C78" i="34" s="1"/>
  <c r="D77" i="34"/>
  <c r="C77" i="34" s="1"/>
  <c r="D92" i="33"/>
  <c r="C92" i="33" s="1"/>
  <c r="D91" i="33"/>
  <c r="C91" i="33" s="1"/>
  <c r="D90" i="33"/>
  <c r="C90" i="33" s="1"/>
  <c r="D89" i="33"/>
  <c r="C89" i="33" s="1"/>
  <c r="D88" i="33"/>
  <c r="C88" i="33" s="1"/>
  <c r="D87" i="33"/>
  <c r="C87" i="33" s="1"/>
  <c r="D86" i="33"/>
  <c r="C86" i="33" s="1"/>
  <c r="D85" i="33"/>
  <c r="C85" i="33" s="1"/>
  <c r="D84" i="33"/>
  <c r="C84" i="33" s="1"/>
  <c r="D83" i="33"/>
  <c r="C83" i="33" s="1"/>
  <c r="D82" i="33"/>
  <c r="C82" i="33" s="1"/>
  <c r="D81" i="33"/>
  <c r="C81" i="33" s="1"/>
  <c r="D80" i="33"/>
  <c r="C80" i="33" s="1"/>
  <c r="D79" i="33"/>
  <c r="C79" i="33" s="1"/>
  <c r="D78" i="33"/>
  <c r="C78" i="33" s="1"/>
  <c r="D77" i="33"/>
  <c r="C77" i="33" s="1"/>
  <c r="D92" i="32"/>
  <c r="C92" i="32" s="1"/>
  <c r="D91" i="32"/>
  <c r="C91" i="32" s="1"/>
  <c r="D90" i="32"/>
  <c r="C90" i="32" s="1"/>
  <c r="D89" i="32"/>
  <c r="C89" i="32" s="1"/>
  <c r="D88" i="32"/>
  <c r="C88" i="32" s="1"/>
  <c r="D87" i="32"/>
  <c r="C87" i="32" s="1"/>
  <c r="D86" i="32"/>
  <c r="C86" i="32" s="1"/>
  <c r="D85" i="32"/>
  <c r="C85" i="32" s="1"/>
  <c r="D84" i="32"/>
  <c r="C84" i="32" s="1"/>
  <c r="D83" i="32"/>
  <c r="C83" i="32" s="1"/>
  <c r="D82" i="32"/>
  <c r="C82" i="32" s="1"/>
  <c r="D81" i="32"/>
  <c r="C81" i="32" s="1"/>
  <c r="D80" i="32"/>
  <c r="C80" i="32" s="1"/>
  <c r="D79" i="32"/>
  <c r="C79" i="32" s="1"/>
  <c r="D78" i="32"/>
  <c r="C78" i="32" s="1"/>
  <c r="D77" i="32"/>
  <c r="C77" i="32" s="1"/>
  <c r="D92" i="31"/>
  <c r="C92" i="31" s="1"/>
  <c r="D91" i="31"/>
  <c r="C91" i="31" s="1"/>
  <c r="D90" i="31"/>
  <c r="C90" i="31" s="1"/>
  <c r="D89" i="31"/>
  <c r="C89" i="31" s="1"/>
  <c r="D88" i="31"/>
  <c r="C88" i="31" s="1"/>
  <c r="D87" i="31"/>
  <c r="C87" i="31" s="1"/>
  <c r="D86" i="31"/>
  <c r="C86" i="31" s="1"/>
  <c r="D85" i="31"/>
  <c r="C85" i="31" s="1"/>
  <c r="D84" i="31"/>
  <c r="C84" i="31" s="1"/>
  <c r="D83" i="31"/>
  <c r="C83" i="31" s="1"/>
  <c r="D82" i="31"/>
  <c r="C82" i="31" s="1"/>
  <c r="D81" i="31"/>
  <c r="C81" i="31" s="1"/>
  <c r="D80" i="31"/>
  <c r="C80" i="31" s="1"/>
  <c r="D79" i="31"/>
  <c r="C79" i="31" s="1"/>
  <c r="D78" i="31"/>
  <c r="C78" i="31" s="1"/>
  <c r="D77" i="31"/>
  <c r="C77" i="31" s="1"/>
  <c r="D92" i="30"/>
  <c r="C92" i="30" s="1"/>
  <c r="D91" i="30"/>
  <c r="C91" i="30" s="1"/>
  <c r="F91" i="30" s="1"/>
  <c r="D90" i="30"/>
  <c r="C90" i="30" s="1"/>
  <c r="D89" i="30"/>
  <c r="C89" i="30" s="1"/>
  <c r="D88" i="30"/>
  <c r="C88" i="30" s="1"/>
  <c r="D87" i="30"/>
  <c r="C87" i="30" s="1"/>
  <c r="F87" i="30" s="1"/>
  <c r="D86" i="30"/>
  <c r="C86" i="30" s="1"/>
  <c r="F86" i="30" s="1"/>
  <c r="D85" i="30"/>
  <c r="C85" i="30" s="1"/>
  <c r="D84" i="30"/>
  <c r="C84" i="30" s="1"/>
  <c r="D83" i="30"/>
  <c r="C83" i="30" s="1"/>
  <c r="F83" i="30" s="1"/>
  <c r="D82" i="30"/>
  <c r="C82" i="30" s="1"/>
  <c r="D81" i="30"/>
  <c r="C81" i="30" s="1"/>
  <c r="D80" i="30"/>
  <c r="C80" i="30" s="1"/>
  <c r="D79" i="30"/>
  <c r="C79" i="30" s="1"/>
  <c r="F79" i="30" s="1"/>
  <c r="D78" i="30"/>
  <c r="C78" i="30" s="1"/>
  <c r="D77" i="30"/>
  <c r="C77" i="30" s="1"/>
  <c r="D92" i="29"/>
  <c r="C92" i="29" s="1"/>
  <c r="H100" i="45" s="1"/>
  <c r="D91" i="29"/>
  <c r="C91" i="29" s="1"/>
  <c r="H99" i="45" s="1"/>
  <c r="D90" i="29"/>
  <c r="C90" i="29" s="1"/>
  <c r="H98" i="45" s="1"/>
  <c r="D89" i="29"/>
  <c r="C89" i="29" s="1"/>
  <c r="H97" i="45" s="1"/>
  <c r="D88" i="29"/>
  <c r="C88" i="29" s="1"/>
  <c r="D87" i="29"/>
  <c r="C87" i="29" s="1"/>
  <c r="D86" i="29"/>
  <c r="C86" i="29" s="1"/>
  <c r="H94" i="45" s="1"/>
  <c r="D85" i="29"/>
  <c r="C85" i="29" s="1"/>
  <c r="H93" i="45" s="1"/>
  <c r="D84" i="29"/>
  <c r="C84" i="29" s="1"/>
  <c r="D83" i="29"/>
  <c r="C83" i="29" s="1"/>
  <c r="H91" i="45" s="1"/>
  <c r="D82" i="29"/>
  <c r="C82" i="29" s="1"/>
  <c r="H90" i="45" s="1"/>
  <c r="D81" i="29"/>
  <c r="C81" i="29" s="1"/>
  <c r="H89" i="45" s="1"/>
  <c r="D80" i="29"/>
  <c r="C80" i="29" s="1"/>
  <c r="D79" i="29"/>
  <c r="C79" i="29" s="1"/>
  <c r="H87" i="45" s="1"/>
  <c r="D78" i="29"/>
  <c r="C78" i="29" s="1"/>
  <c r="H86" i="45" s="1"/>
  <c r="D77" i="29"/>
  <c r="C77" i="29" s="1"/>
  <c r="H85" i="45" s="1"/>
  <c r="D98" i="36"/>
  <c r="C98" i="36" s="1"/>
  <c r="P106" i="45" s="1"/>
  <c r="D99" i="36"/>
  <c r="C99" i="36" s="1"/>
  <c r="P107" i="45" s="1"/>
  <c r="D100" i="36"/>
  <c r="C100" i="36" s="1"/>
  <c r="P108" i="45" s="1"/>
  <c r="D101" i="36"/>
  <c r="C101" i="36" s="1"/>
  <c r="P109" i="45" s="1"/>
  <c r="D102" i="36"/>
  <c r="C102" i="36" s="1"/>
  <c r="P110" i="45" s="1"/>
  <c r="D103" i="36"/>
  <c r="C103" i="36" s="1"/>
  <c r="P111" i="45" s="1"/>
  <c r="D104" i="36"/>
  <c r="C104" i="36" s="1"/>
  <c r="P112" i="45" s="1"/>
  <c r="D105" i="36"/>
  <c r="C105" i="36" s="1"/>
  <c r="P113" i="45" s="1"/>
  <c r="D106" i="36"/>
  <c r="C106" i="36" s="1"/>
  <c r="P114" i="45" s="1"/>
  <c r="D107" i="36"/>
  <c r="C107" i="36" s="1"/>
  <c r="P115" i="45" s="1"/>
  <c r="D98" i="35"/>
  <c r="C98" i="35" s="1"/>
  <c r="D99" i="35"/>
  <c r="C99" i="35" s="1"/>
  <c r="D100" i="35"/>
  <c r="C100" i="35" s="1"/>
  <c r="D101" i="35"/>
  <c r="C101" i="35" s="1"/>
  <c r="D102" i="35"/>
  <c r="C102" i="35" s="1"/>
  <c r="D103" i="35"/>
  <c r="C103" i="35" s="1"/>
  <c r="D104" i="35"/>
  <c r="C104" i="35" s="1"/>
  <c r="D105" i="35"/>
  <c r="C105" i="35" s="1"/>
  <c r="D106" i="35"/>
  <c r="C106" i="35" s="1"/>
  <c r="D107" i="35"/>
  <c r="C107" i="35" s="1"/>
  <c r="D98" i="34"/>
  <c r="C98" i="34" s="1"/>
  <c r="D99" i="34"/>
  <c r="C99" i="34" s="1"/>
  <c r="N107" i="45" s="1"/>
  <c r="D100" i="34"/>
  <c r="C100" i="34" s="1"/>
  <c r="N108" i="45" s="1"/>
  <c r="D101" i="34"/>
  <c r="C101" i="34" s="1"/>
  <c r="N109" i="45" s="1"/>
  <c r="D102" i="34"/>
  <c r="C102" i="34" s="1"/>
  <c r="N110" i="45" s="1"/>
  <c r="D103" i="34"/>
  <c r="C103" i="34" s="1"/>
  <c r="N111" i="45" s="1"/>
  <c r="D104" i="34"/>
  <c r="C104" i="34" s="1"/>
  <c r="N112" i="45" s="1"/>
  <c r="D105" i="34"/>
  <c r="C105" i="34" s="1"/>
  <c r="N113" i="45" s="1"/>
  <c r="D106" i="34"/>
  <c r="C106" i="34" s="1"/>
  <c r="N114" i="45" s="1"/>
  <c r="D107" i="34"/>
  <c r="C107" i="34" s="1"/>
  <c r="N115" i="45" s="1"/>
  <c r="D98" i="33"/>
  <c r="C98" i="33" s="1"/>
  <c r="D99" i="33"/>
  <c r="C99" i="33" s="1"/>
  <c r="M107" i="45" s="1"/>
  <c r="D100" i="33"/>
  <c r="C100" i="33" s="1"/>
  <c r="M108" i="45" s="1"/>
  <c r="D101" i="33"/>
  <c r="C101" i="33" s="1"/>
  <c r="M109" i="45" s="1"/>
  <c r="D102" i="33"/>
  <c r="C102" i="33" s="1"/>
  <c r="M110" i="45" s="1"/>
  <c r="D103" i="33"/>
  <c r="C103" i="33" s="1"/>
  <c r="M111" i="45" s="1"/>
  <c r="D104" i="33"/>
  <c r="C104" i="33" s="1"/>
  <c r="M112" i="45" s="1"/>
  <c r="D105" i="33"/>
  <c r="C105" i="33" s="1"/>
  <c r="M113" i="45" s="1"/>
  <c r="D106" i="33"/>
  <c r="C106" i="33" s="1"/>
  <c r="M114" i="45" s="1"/>
  <c r="D107" i="33"/>
  <c r="C107" i="33" s="1"/>
  <c r="M115" i="45" s="1"/>
  <c r="D98" i="32"/>
  <c r="C98" i="32" s="1"/>
  <c r="D99" i="32"/>
  <c r="C99" i="32" s="1"/>
  <c r="D100" i="32"/>
  <c r="C100" i="32" s="1"/>
  <c r="D101" i="32"/>
  <c r="C101" i="32" s="1"/>
  <c r="D102" i="32"/>
  <c r="C102" i="32" s="1"/>
  <c r="D103" i="32"/>
  <c r="C103" i="32" s="1"/>
  <c r="D104" i="32"/>
  <c r="C104" i="32" s="1"/>
  <c r="D105" i="32"/>
  <c r="C105" i="32" s="1"/>
  <c r="D106" i="32"/>
  <c r="C106" i="32" s="1"/>
  <c r="D107" i="32"/>
  <c r="C107" i="32" s="1"/>
  <c r="L115" i="45" s="1"/>
  <c r="D98" i="31"/>
  <c r="C98" i="31" s="1"/>
  <c r="D99" i="31"/>
  <c r="C99" i="31" s="1"/>
  <c r="D100" i="31"/>
  <c r="C100" i="31" s="1"/>
  <c r="D101" i="31"/>
  <c r="C101" i="31" s="1"/>
  <c r="D102" i="31"/>
  <c r="C102" i="31" s="1"/>
  <c r="D103" i="31"/>
  <c r="C103" i="31" s="1"/>
  <c r="D104" i="31"/>
  <c r="C104" i="31" s="1"/>
  <c r="D105" i="31"/>
  <c r="C105" i="31" s="1"/>
  <c r="D106" i="31"/>
  <c r="C106" i="31" s="1"/>
  <c r="D107" i="31"/>
  <c r="C107" i="31" s="1"/>
  <c r="D98" i="30"/>
  <c r="C98" i="30" s="1"/>
  <c r="J106" i="45" s="1"/>
  <c r="D99" i="30"/>
  <c r="C99" i="30" s="1"/>
  <c r="D100" i="30"/>
  <c r="C100" i="30" s="1"/>
  <c r="J108" i="45" s="1"/>
  <c r="D101" i="30"/>
  <c r="C101" i="30" s="1"/>
  <c r="D102" i="30"/>
  <c r="C102" i="30" s="1"/>
  <c r="J110" i="45" s="1"/>
  <c r="D103" i="30"/>
  <c r="C103" i="30" s="1"/>
  <c r="D104" i="30"/>
  <c r="C104" i="30" s="1"/>
  <c r="J112" i="45" s="1"/>
  <c r="D105" i="30"/>
  <c r="C105" i="30" s="1"/>
  <c r="D106" i="30"/>
  <c r="C106" i="30" s="1"/>
  <c r="J114" i="45" s="1"/>
  <c r="D107" i="30"/>
  <c r="C107" i="30" s="1"/>
  <c r="D98" i="29"/>
  <c r="C98" i="29" s="1"/>
  <c r="D99" i="29"/>
  <c r="C99" i="29" s="1"/>
  <c r="D100" i="29"/>
  <c r="C100" i="29" s="1"/>
  <c r="D101" i="29"/>
  <c r="C101" i="29" s="1"/>
  <c r="D102" i="29"/>
  <c r="C102" i="29" s="1"/>
  <c r="D103" i="29"/>
  <c r="C103" i="29" s="1"/>
  <c r="D104" i="29"/>
  <c r="C104" i="29" s="1"/>
  <c r="D105" i="29"/>
  <c r="C105" i="29" s="1"/>
  <c r="D106" i="29"/>
  <c r="C106" i="29" s="1"/>
  <c r="D107" i="29"/>
  <c r="C107" i="29" s="1"/>
  <c r="D73" i="44"/>
  <c r="C73" i="44" s="1"/>
  <c r="D74" i="44"/>
  <c r="C74" i="44" s="1"/>
  <c r="D75" i="44"/>
  <c r="C75" i="44" s="1"/>
  <c r="D76" i="44"/>
  <c r="C76" i="44" s="1"/>
  <c r="D77" i="44"/>
  <c r="C77" i="44" s="1"/>
  <c r="D78" i="44"/>
  <c r="C78" i="44" s="1"/>
  <c r="D79" i="44"/>
  <c r="C79" i="44" s="1"/>
  <c r="D80" i="44"/>
  <c r="C80" i="44" s="1"/>
  <c r="D81" i="44"/>
  <c r="C81" i="44" s="1"/>
  <c r="D82" i="44"/>
  <c r="C82" i="44" s="1"/>
  <c r="D88" i="41"/>
  <c r="C88" i="41" s="1"/>
  <c r="AN105" i="45" s="1"/>
  <c r="D89" i="41"/>
  <c r="C89" i="41" s="1"/>
  <c r="D90" i="41"/>
  <c r="C90" i="41" s="1"/>
  <c r="D91" i="41"/>
  <c r="C91" i="41" s="1"/>
  <c r="D92" i="41"/>
  <c r="C92" i="41" s="1"/>
  <c r="D93" i="41"/>
  <c r="C93" i="41" s="1"/>
  <c r="D94" i="41"/>
  <c r="C94" i="41" s="1"/>
  <c r="D95" i="41"/>
  <c r="C95" i="41" s="1"/>
  <c r="D96" i="41"/>
  <c r="C96" i="41" s="1"/>
  <c r="D97" i="41"/>
  <c r="C97" i="41" s="1"/>
  <c r="D98" i="41"/>
  <c r="C98" i="41" s="1"/>
  <c r="D89" i="20"/>
  <c r="C89" i="20" s="1"/>
  <c r="D90" i="20"/>
  <c r="C90" i="20" s="1"/>
  <c r="D91" i="20"/>
  <c r="C91" i="20" s="1"/>
  <c r="D92" i="20"/>
  <c r="C92" i="20" s="1"/>
  <c r="D93" i="20"/>
  <c r="C93" i="20" s="1"/>
  <c r="D94" i="20"/>
  <c r="C94" i="20" s="1"/>
  <c r="D95" i="20"/>
  <c r="C95" i="20" s="1"/>
  <c r="AM112" i="45" s="1"/>
  <c r="D96" i="20"/>
  <c r="C96" i="20" s="1"/>
  <c r="D97" i="20"/>
  <c r="C97" i="20" s="1"/>
  <c r="D98" i="20"/>
  <c r="C98" i="20" s="1"/>
  <c r="AM115" i="45" s="1"/>
  <c r="D89" i="19"/>
  <c r="C89" i="19" s="1"/>
  <c r="D90" i="19"/>
  <c r="C90" i="19" s="1"/>
  <c r="D91" i="19"/>
  <c r="C91" i="19" s="1"/>
  <c r="D92" i="19"/>
  <c r="C92" i="19" s="1"/>
  <c r="AL109" i="45" s="1"/>
  <c r="D93" i="19"/>
  <c r="C93" i="19" s="1"/>
  <c r="D94" i="19"/>
  <c r="C94" i="19" s="1"/>
  <c r="AL111" i="45" s="1"/>
  <c r="D95" i="19"/>
  <c r="C95" i="19" s="1"/>
  <c r="D96" i="19"/>
  <c r="C96" i="19" s="1"/>
  <c r="AL113" i="45" s="1"/>
  <c r="D97" i="19"/>
  <c r="C97" i="19" s="1"/>
  <c r="G97" i="19" s="1"/>
  <c r="D98" i="19"/>
  <c r="C98" i="19" s="1"/>
  <c r="AL115" i="45" s="1"/>
  <c r="D89" i="18"/>
  <c r="C89" i="18" s="1"/>
  <c r="F89" i="18" s="1"/>
  <c r="D90" i="18"/>
  <c r="C90" i="18" s="1"/>
  <c r="AK107" i="45" s="1"/>
  <c r="D91" i="18"/>
  <c r="C91" i="18" s="1"/>
  <c r="D92" i="18"/>
  <c r="C92" i="18" s="1"/>
  <c r="AK109" i="45" s="1"/>
  <c r="D93" i="18"/>
  <c r="C93" i="18" s="1"/>
  <c r="D94" i="18"/>
  <c r="C94" i="18" s="1"/>
  <c r="AK111" i="45" s="1"/>
  <c r="D95" i="18"/>
  <c r="C95" i="18" s="1"/>
  <c r="D96" i="18"/>
  <c r="C96" i="18" s="1"/>
  <c r="AK113" i="45" s="1"/>
  <c r="D97" i="18"/>
  <c r="C97" i="18" s="1"/>
  <c r="F97" i="18" s="1"/>
  <c r="D98" i="18"/>
  <c r="C98" i="18" s="1"/>
  <c r="AK115" i="45" s="1"/>
  <c r="D92" i="39"/>
  <c r="C92" i="39" s="1"/>
  <c r="D93" i="39"/>
  <c r="C93" i="39" s="1"/>
  <c r="D94" i="39"/>
  <c r="C94" i="39" s="1"/>
  <c r="D95" i="39"/>
  <c r="C95" i="39" s="1"/>
  <c r="F95" i="39" s="1"/>
  <c r="D96" i="39"/>
  <c r="C96" i="39" s="1"/>
  <c r="D97" i="39"/>
  <c r="C97" i="39" s="1"/>
  <c r="D98" i="39"/>
  <c r="C98" i="39" s="1"/>
  <c r="D99" i="39"/>
  <c r="C99" i="39" s="1"/>
  <c r="D100" i="39"/>
  <c r="C100" i="39" s="1"/>
  <c r="D101" i="39"/>
  <c r="C101" i="39" s="1"/>
  <c r="D92" i="38"/>
  <c r="C92" i="38" s="1"/>
  <c r="D93" i="38"/>
  <c r="C93" i="38" s="1"/>
  <c r="D94" i="38"/>
  <c r="C94" i="38" s="1"/>
  <c r="D95" i="38"/>
  <c r="C95" i="38" s="1"/>
  <c r="D96" i="38"/>
  <c r="C96" i="38" s="1"/>
  <c r="D97" i="38"/>
  <c r="C97" i="38" s="1"/>
  <c r="D98" i="38"/>
  <c r="C98" i="38" s="1"/>
  <c r="D99" i="38"/>
  <c r="C99" i="38" s="1"/>
  <c r="D100" i="38"/>
  <c r="C100" i="38" s="1"/>
  <c r="D101" i="38"/>
  <c r="C101" i="38" s="1"/>
  <c r="D92" i="37"/>
  <c r="C92" i="37" s="1"/>
  <c r="AG106" i="45" s="1"/>
  <c r="D93" i="37"/>
  <c r="C93" i="37" s="1"/>
  <c r="AG107" i="45" s="1"/>
  <c r="D94" i="37"/>
  <c r="C94" i="37" s="1"/>
  <c r="AG108" i="45" s="1"/>
  <c r="D95" i="37"/>
  <c r="C95" i="37" s="1"/>
  <c r="AG109" i="45" s="1"/>
  <c r="D96" i="37"/>
  <c r="C96" i="37" s="1"/>
  <c r="D97" i="37"/>
  <c r="C97" i="37" s="1"/>
  <c r="AG111" i="45" s="1"/>
  <c r="D98" i="37"/>
  <c r="C98" i="37" s="1"/>
  <c r="AG112" i="45" s="1"/>
  <c r="D99" i="37"/>
  <c r="C99" i="37" s="1"/>
  <c r="AG113" i="45" s="1"/>
  <c r="D100" i="37"/>
  <c r="C100" i="37" s="1"/>
  <c r="D101" i="37"/>
  <c r="C101" i="37" s="1"/>
  <c r="D105" i="43"/>
  <c r="C105" i="43" s="1"/>
  <c r="D106" i="43"/>
  <c r="C106" i="43" s="1"/>
  <c r="D107" i="43"/>
  <c r="C107" i="43" s="1"/>
  <c r="D108" i="43"/>
  <c r="C108" i="43" s="1"/>
  <c r="D109" i="43"/>
  <c r="C109" i="43" s="1"/>
  <c r="D110" i="43"/>
  <c r="C110" i="43" s="1"/>
  <c r="D111" i="43"/>
  <c r="C111" i="43" s="1"/>
  <c r="D112" i="43"/>
  <c r="C112" i="43" s="1"/>
  <c r="D113" i="43"/>
  <c r="C113" i="43" s="1"/>
  <c r="D114" i="43"/>
  <c r="C114" i="43" s="1"/>
  <c r="D105" i="42"/>
  <c r="C105" i="42" s="1"/>
  <c r="D106" i="42"/>
  <c r="C106" i="42" s="1"/>
  <c r="D107" i="42"/>
  <c r="C107" i="42" s="1"/>
  <c r="G107" i="42" s="1"/>
  <c r="D108" i="42"/>
  <c r="C108" i="42" s="1"/>
  <c r="F108" i="42" s="1"/>
  <c r="D109" i="42"/>
  <c r="C109" i="42" s="1"/>
  <c r="D110" i="42"/>
  <c r="C110" i="42" s="1"/>
  <c r="D111" i="42"/>
  <c r="C111" i="42" s="1"/>
  <c r="D112" i="42"/>
  <c r="C112" i="42" s="1"/>
  <c r="D113" i="42"/>
  <c r="C113" i="42" s="1"/>
  <c r="D114" i="42"/>
  <c r="C114" i="42" s="1"/>
  <c r="D99" i="17"/>
  <c r="C99" i="17" s="1"/>
  <c r="D100" i="17"/>
  <c r="C100" i="17" s="1"/>
  <c r="AC107" i="45" s="1"/>
  <c r="D101" i="17"/>
  <c r="C101" i="17" s="1"/>
  <c r="AC108" i="45" s="1"/>
  <c r="D102" i="17"/>
  <c r="C102" i="17" s="1"/>
  <c r="AC109" i="45" s="1"/>
  <c r="D103" i="17"/>
  <c r="C103" i="17" s="1"/>
  <c r="AC110" i="45" s="1"/>
  <c r="D104" i="17"/>
  <c r="C104" i="17" s="1"/>
  <c r="AC111" i="45" s="1"/>
  <c r="D105" i="17"/>
  <c r="C105" i="17" s="1"/>
  <c r="AC112" i="45" s="1"/>
  <c r="D106" i="17"/>
  <c r="C106" i="17" s="1"/>
  <c r="D107" i="17"/>
  <c r="C107" i="17" s="1"/>
  <c r="AC114" i="45" s="1"/>
  <c r="D108" i="17"/>
  <c r="C108" i="17" s="1"/>
  <c r="AC115" i="45" s="1"/>
  <c r="D98" i="16"/>
  <c r="C98" i="16" s="1"/>
  <c r="D99" i="16"/>
  <c r="C99" i="16" s="1"/>
  <c r="AB107" i="45" s="1"/>
  <c r="D100" i="16"/>
  <c r="C100" i="16" s="1"/>
  <c r="D101" i="16"/>
  <c r="C101" i="16" s="1"/>
  <c r="D102" i="16"/>
  <c r="C102" i="16" s="1"/>
  <c r="D103" i="16"/>
  <c r="C103" i="16" s="1"/>
  <c r="AB111" i="45" s="1"/>
  <c r="D104" i="16"/>
  <c r="C104" i="16" s="1"/>
  <c r="D105" i="16"/>
  <c r="C105" i="16" s="1"/>
  <c r="D106" i="16"/>
  <c r="C106" i="16" s="1"/>
  <c r="D107" i="16"/>
  <c r="C107" i="16" s="1"/>
  <c r="AB115" i="45" s="1"/>
  <c r="D98" i="15"/>
  <c r="C98" i="15" s="1"/>
  <c r="D99" i="15"/>
  <c r="C99" i="15" s="1"/>
  <c r="AA107" i="45" s="1"/>
  <c r="D100" i="15"/>
  <c r="C100" i="15" s="1"/>
  <c r="AA108" i="45" s="1"/>
  <c r="D101" i="15"/>
  <c r="C101" i="15" s="1"/>
  <c r="D102" i="15"/>
  <c r="C102" i="15" s="1"/>
  <c r="D103" i="15"/>
  <c r="C103" i="15" s="1"/>
  <c r="AA111" i="45" s="1"/>
  <c r="D104" i="15"/>
  <c r="C104" i="15" s="1"/>
  <c r="AA112" i="45" s="1"/>
  <c r="D105" i="15"/>
  <c r="C105" i="15" s="1"/>
  <c r="D106" i="15"/>
  <c r="C106" i="15" s="1"/>
  <c r="D107" i="15"/>
  <c r="C107" i="15" s="1"/>
  <c r="AA115" i="45" s="1"/>
  <c r="D98" i="14"/>
  <c r="C98" i="14" s="1"/>
  <c r="Z106" i="45" s="1"/>
  <c r="D99" i="14"/>
  <c r="C99" i="14" s="1"/>
  <c r="D100" i="14"/>
  <c r="C100" i="14" s="1"/>
  <c r="Z108" i="45" s="1"/>
  <c r="D101" i="14"/>
  <c r="C101" i="14" s="1"/>
  <c r="D102" i="14"/>
  <c r="C102" i="14" s="1"/>
  <c r="Z110" i="45" s="1"/>
  <c r="D103" i="14"/>
  <c r="C103" i="14" s="1"/>
  <c r="D104" i="14"/>
  <c r="C104" i="14" s="1"/>
  <c r="Z112" i="45" s="1"/>
  <c r="D105" i="14"/>
  <c r="C105" i="14" s="1"/>
  <c r="Z113" i="45" s="1"/>
  <c r="D106" i="14"/>
  <c r="C106" i="14" s="1"/>
  <c r="Z114" i="45" s="1"/>
  <c r="D107" i="14"/>
  <c r="C107" i="14" s="1"/>
  <c r="AU111" i="45" l="1"/>
  <c r="AU109" i="45"/>
  <c r="AU115" i="45"/>
  <c r="AU113" i="45"/>
  <c r="AU112" i="45"/>
  <c r="AU108" i="45"/>
  <c r="AU107" i="45"/>
  <c r="AV112" i="21"/>
  <c r="AV110" i="21"/>
  <c r="AV111" i="21"/>
  <c r="AV107" i="21"/>
  <c r="AV108" i="21"/>
  <c r="G96" i="37"/>
  <c r="AG110" i="45"/>
  <c r="G94" i="38"/>
  <c r="AH108" i="45"/>
  <c r="F101" i="38"/>
  <c r="AH115" i="45"/>
  <c r="F97" i="38"/>
  <c r="AH111" i="45"/>
  <c r="F93" i="38"/>
  <c r="AH107" i="45"/>
  <c r="G96" i="38"/>
  <c r="AH110" i="45"/>
  <c r="G98" i="38"/>
  <c r="AH112" i="45"/>
  <c r="G92" i="38"/>
  <c r="AH106" i="45"/>
  <c r="G101" i="37"/>
  <c r="AG115" i="45"/>
  <c r="F95" i="38"/>
  <c r="AH109" i="45"/>
  <c r="F99" i="38"/>
  <c r="AH113" i="45"/>
  <c r="G100" i="37"/>
  <c r="AG114" i="45"/>
  <c r="G100" i="38"/>
  <c r="AH114" i="45"/>
  <c r="F107" i="14"/>
  <c r="Z115" i="45"/>
  <c r="F100" i="38"/>
  <c r="G107" i="15"/>
  <c r="G99" i="38"/>
  <c r="F103" i="15"/>
  <c r="G99" i="15"/>
  <c r="G105" i="30"/>
  <c r="J113" i="45"/>
  <c r="F105" i="15"/>
  <c r="AA113" i="45"/>
  <c r="G105" i="16"/>
  <c r="AB113" i="45"/>
  <c r="G101" i="16"/>
  <c r="AB109" i="45"/>
  <c r="F109" i="42"/>
  <c r="AD110" i="45"/>
  <c r="F98" i="37"/>
  <c r="F92" i="39"/>
  <c r="AI106" i="45"/>
  <c r="F91" i="18"/>
  <c r="AK108" i="45"/>
  <c r="G98" i="41"/>
  <c r="AN115" i="45"/>
  <c r="G78" i="44"/>
  <c r="AQ111" i="45"/>
  <c r="G101" i="29"/>
  <c r="I109" i="45"/>
  <c r="F102" i="31"/>
  <c r="K110" i="45"/>
  <c r="G102" i="35"/>
  <c r="O110" i="45"/>
  <c r="G98" i="35"/>
  <c r="O106" i="45"/>
  <c r="F105" i="14"/>
  <c r="F101" i="14"/>
  <c r="Z109" i="45"/>
  <c r="F107" i="15"/>
  <c r="F99" i="15"/>
  <c r="F104" i="16"/>
  <c r="AB112" i="45"/>
  <c r="F100" i="16"/>
  <c r="AB108" i="45"/>
  <c r="G112" i="42"/>
  <c r="AD113" i="45"/>
  <c r="G108" i="42"/>
  <c r="AD109" i="45"/>
  <c r="F112" i="42"/>
  <c r="F114" i="43"/>
  <c r="AE115" i="45"/>
  <c r="F110" i="43"/>
  <c r="AE111" i="45"/>
  <c r="F106" i="43"/>
  <c r="AE107" i="45"/>
  <c r="G97" i="37"/>
  <c r="G93" i="37"/>
  <c r="F96" i="38"/>
  <c r="G99" i="39"/>
  <c r="AI113" i="45"/>
  <c r="G95" i="39"/>
  <c r="AI109" i="45"/>
  <c r="F99" i="39"/>
  <c r="G97" i="18"/>
  <c r="AK114" i="45"/>
  <c r="F90" i="19"/>
  <c r="AL107" i="45"/>
  <c r="F97" i="20"/>
  <c r="AM114" i="45"/>
  <c r="F93" i="20"/>
  <c r="AM110" i="45"/>
  <c r="F89" i="20"/>
  <c r="AM106" i="45"/>
  <c r="G97" i="41"/>
  <c r="AN114" i="45"/>
  <c r="G93" i="41"/>
  <c r="AN110" i="45"/>
  <c r="G89" i="41"/>
  <c r="AN106" i="45"/>
  <c r="G81" i="44"/>
  <c r="AQ114" i="45"/>
  <c r="G77" i="44"/>
  <c r="AQ110" i="45"/>
  <c r="G73" i="44"/>
  <c r="AQ106" i="45"/>
  <c r="G104" i="29"/>
  <c r="I112" i="45"/>
  <c r="G100" i="29"/>
  <c r="I108" i="45"/>
  <c r="G103" i="30"/>
  <c r="J111" i="45"/>
  <c r="G99" i="30"/>
  <c r="J107" i="45"/>
  <c r="G105" i="31"/>
  <c r="K113" i="45"/>
  <c r="G101" i="31"/>
  <c r="K109" i="45"/>
  <c r="F103" i="32"/>
  <c r="L111" i="45"/>
  <c r="F99" i="32"/>
  <c r="L107" i="45"/>
  <c r="G105" i="35"/>
  <c r="O113" i="45"/>
  <c r="G101" i="35"/>
  <c r="O109" i="45"/>
  <c r="F87" i="29"/>
  <c r="H95" i="45"/>
  <c r="F101" i="15"/>
  <c r="AA109" i="45"/>
  <c r="F113" i="42"/>
  <c r="AD114" i="45"/>
  <c r="G107" i="43"/>
  <c r="AE108" i="45"/>
  <c r="F94" i="37"/>
  <c r="F96" i="39"/>
  <c r="AI110" i="45"/>
  <c r="G95" i="18"/>
  <c r="AK112" i="45"/>
  <c r="F91" i="19"/>
  <c r="AL108" i="45"/>
  <c r="F90" i="20"/>
  <c r="AM107" i="45"/>
  <c r="G90" i="41"/>
  <c r="AN107" i="45"/>
  <c r="G74" i="44"/>
  <c r="AQ107" i="45"/>
  <c r="F98" i="31"/>
  <c r="K106" i="45"/>
  <c r="G100" i="32"/>
  <c r="L108" i="45"/>
  <c r="F98" i="33"/>
  <c r="M106" i="45"/>
  <c r="G106" i="35"/>
  <c r="O114" i="45"/>
  <c r="G103" i="15"/>
  <c r="G99" i="17"/>
  <c r="AC106" i="45"/>
  <c r="F111" i="42"/>
  <c r="AD112" i="45"/>
  <c r="F107" i="42"/>
  <c r="AD108" i="45"/>
  <c r="G111" i="42"/>
  <c r="G113" i="43"/>
  <c r="AE114" i="45"/>
  <c r="G109" i="43"/>
  <c r="AE110" i="45"/>
  <c r="G105" i="43"/>
  <c r="AE106" i="45"/>
  <c r="F100" i="37"/>
  <c r="F96" i="37"/>
  <c r="F92" i="37"/>
  <c r="G95" i="38"/>
  <c r="F98" i="39"/>
  <c r="AI112" i="45"/>
  <c r="F94" i="39"/>
  <c r="AI108" i="45"/>
  <c r="G96" i="39"/>
  <c r="F93" i="18"/>
  <c r="AK110" i="45"/>
  <c r="G89" i="18"/>
  <c r="AK106" i="45"/>
  <c r="F97" i="19"/>
  <c r="AL114" i="45"/>
  <c r="F93" i="19"/>
  <c r="AL110" i="45"/>
  <c r="F89" i="19"/>
  <c r="AL106" i="45"/>
  <c r="F96" i="20"/>
  <c r="AM113" i="45"/>
  <c r="F92" i="20"/>
  <c r="AM109" i="45"/>
  <c r="G98" i="20"/>
  <c r="G96" i="41"/>
  <c r="AN113" i="45"/>
  <c r="G92" i="41"/>
  <c r="AN109" i="45"/>
  <c r="G80" i="44"/>
  <c r="AQ113" i="45"/>
  <c r="G76" i="44"/>
  <c r="AQ109" i="45"/>
  <c r="F107" i="29"/>
  <c r="I115" i="45"/>
  <c r="F103" i="29"/>
  <c r="I111" i="45"/>
  <c r="F99" i="29"/>
  <c r="I107" i="45"/>
  <c r="G104" i="31"/>
  <c r="K112" i="45"/>
  <c r="G100" i="31"/>
  <c r="K108" i="45"/>
  <c r="F106" i="32"/>
  <c r="L114" i="45"/>
  <c r="G102" i="32"/>
  <c r="L110" i="45"/>
  <c r="G98" i="32"/>
  <c r="L106" i="45"/>
  <c r="F98" i="34"/>
  <c r="N106" i="45"/>
  <c r="F104" i="35"/>
  <c r="O112" i="45"/>
  <c r="G100" i="35"/>
  <c r="O108" i="45"/>
  <c r="F80" i="29"/>
  <c r="H88" i="45"/>
  <c r="F84" i="29"/>
  <c r="H92" i="45"/>
  <c r="F88" i="29"/>
  <c r="H96" i="45"/>
  <c r="F76" i="29"/>
  <c r="F99" i="14"/>
  <c r="Z107" i="45"/>
  <c r="F105" i="42"/>
  <c r="AD106" i="45"/>
  <c r="G111" i="43"/>
  <c r="AE112" i="45"/>
  <c r="F107" i="43"/>
  <c r="F100" i="39"/>
  <c r="AI114" i="45"/>
  <c r="F95" i="19"/>
  <c r="AL112" i="45"/>
  <c r="F94" i="20"/>
  <c r="AM111" i="45"/>
  <c r="G94" i="41"/>
  <c r="AN111" i="45"/>
  <c r="G82" i="44"/>
  <c r="AQ115" i="45"/>
  <c r="G105" i="29"/>
  <c r="I113" i="45"/>
  <c r="G107" i="30"/>
  <c r="J115" i="45"/>
  <c r="F106" i="31"/>
  <c r="K114" i="45"/>
  <c r="G104" i="32"/>
  <c r="L112" i="45"/>
  <c r="F103" i="14"/>
  <c r="Z111" i="45"/>
  <c r="F106" i="15"/>
  <c r="AA114" i="45"/>
  <c r="F102" i="15"/>
  <c r="AA110" i="45"/>
  <c r="F98" i="15"/>
  <c r="AA106" i="45"/>
  <c r="F106" i="16"/>
  <c r="AB114" i="45"/>
  <c r="G102" i="16"/>
  <c r="AB110" i="45"/>
  <c r="F98" i="16"/>
  <c r="AB106" i="45"/>
  <c r="F106" i="17"/>
  <c r="AC113" i="45"/>
  <c r="G114" i="42"/>
  <c r="AD115" i="45"/>
  <c r="G110" i="42"/>
  <c r="AD111" i="45"/>
  <c r="G106" i="42"/>
  <c r="AD107" i="45"/>
  <c r="F112" i="43"/>
  <c r="AE113" i="45"/>
  <c r="F108" i="43"/>
  <c r="AE109" i="45"/>
  <c r="F111" i="43"/>
  <c r="G99" i="37"/>
  <c r="G95" i="37"/>
  <c r="G101" i="39"/>
  <c r="AI115" i="45"/>
  <c r="G97" i="39"/>
  <c r="AI111" i="45"/>
  <c r="G93" i="39"/>
  <c r="AI107" i="45"/>
  <c r="F91" i="20"/>
  <c r="AM108" i="45"/>
  <c r="F98" i="20"/>
  <c r="F95" i="41"/>
  <c r="AN112" i="45"/>
  <c r="F91" i="41"/>
  <c r="AN108" i="45"/>
  <c r="G91" i="41"/>
  <c r="G79" i="44"/>
  <c r="AQ112" i="45"/>
  <c r="G75" i="44"/>
  <c r="AQ108" i="45"/>
  <c r="F106" i="29"/>
  <c r="I114" i="45"/>
  <c r="F102" i="29"/>
  <c r="I110" i="45"/>
  <c r="F98" i="29"/>
  <c r="I106" i="45"/>
  <c r="G101" i="30"/>
  <c r="J109" i="45"/>
  <c r="F107" i="31"/>
  <c r="K115" i="45"/>
  <c r="F103" i="31"/>
  <c r="K111" i="45"/>
  <c r="F99" i="31"/>
  <c r="K107" i="45"/>
  <c r="F105" i="32"/>
  <c r="L113" i="45"/>
  <c r="F101" i="32"/>
  <c r="L109" i="45"/>
  <c r="G107" i="35"/>
  <c r="O115" i="45"/>
  <c r="G103" i="35"/>
  <c r="O111" i="45"/>
  <c r="G99" i="35"/>
  <c r="O107" i="45"/>
  <c r="G90" i="20"/>
  <c r="F92" i="38"/>
  <c r="G92" i="37"/>
  <c r="F108" i="17"/>
  <c r="G108" i="17"/>
  <c r="F104" i="17"/>
  <c r="G104" i="17"/>
  <c r="F100" i="17"/>
  <c r="G100" i="17"/>
  <c r="F102" i="17"/>
  <c r="G102" i="17"/>
  <c r="F105" i="16"/>
  <c r="F101" i="16"/>
  <c r="G106" i="17"/>
  <c r="F79" i="44"/>
  <c r="G104" i="16"/>
  <c r="G100" i="16"/>
  <c r="G110" i="43"/>
  <c r="G106" i="43"/>
  <c r="F99" i="37"/>
  <c r="F95" i="18"/>
  <c r="G91" i="19"/>
  <c r="F96" i="41"/>
  <c r="F75" i="44"/>
  <c r="G105" i="15"/>
  <c r="G101" i="15"/>
  <c r="F114" i="42"/>
  <c r="F110" i="42"/>
  <c r="F106" i="42"/>
  <c r="G114" i="43"/>
  <c r="G108" i="43"/>
  <c r="F98" i="38"/>
  <c r="F94" i="38"/>
  <c r="G93" i="18"/>
  <c r="G94" i="20"/>
  <c r="G95" i="41"/>
  <c r="F73" i="44"/>
  <c r="F105" i="31"/>
  <c r="F102" i="16"/>
  <c r="G98" i="16"/>
  <c r="G113" i="42"/>
  <c r="G109" i="42"/>
  <c r="G105" i="42"/>
  <c r="F95" i="37"/>
  <c r="G101" i="38"/>
  <c r="G97" i="38"/>
  <c r="G93" i="38"/>
  <c r="G100" i="39"/>
  <c r="G92" i="39"/>
  <c r="F92" i="41"/>
  <c r="F81" i="44"/>
  <c r="F101" i="31"/>
  <c r="F104" i="14"/>
  <c r="G104" i="14"/>
  <c r="G103" i="17"/>
  <c r="F103" i="17"/>
  <c r="F106" i="14"/>
  <c r="G106" i="14"/>
  <c r="F98" i="14"/>
  <c r="G98" i="14"/>
  <c r="G105" i="17"/>
  <c r="F105" i="17"/>
  <c r="G100" i="14"/>
  <c r="F100" i="14"/>
  <c r="G107" i="17"/>
  <c r="F107" i="17"/>
  <c r="F102" i="14"/>
  <c r="G102" i="14"/>
  <c r="G101" i="17"/>
  <c r="F101" i="17"/>
  <c r="F107" i="16"/>
  <c r="G107" i="16"/>
  <c r="F94" i="18"/>
  <c r="G94" i="18"/>
  <c r="F96" i="19"/>
  <c r="G96" i="19"/>
  <c r="G92" i="20"/>
  <c r="G106" i="16"/>
  <c r="F99" i="17"/>
  <c r="F113" i="43"/>
  <c r="G98" i="37"/>
  <c r="G94" i="37"/>
  <c r="G98" i="39"/>
  <c r="G94" i="39"/>
  <c r="F98" i="18"/>
  <c r="G98" i="18"/>
  <c r="F90" i="18"/>
  <c r="G90" i="18"/>
  <c r="G91" i="18"/>
  <c r="F98" i="19"/>
  <c r="G98" i="19"/>
  <c r="F94" i="19"/>
  <c r="G94" i="19"/>
  <c r="G95" i="19"/>
  <c r="G96" i="20"/>
  <c r="F94" i="41"/>
  <c r="F77" i="44"/>
  <c r="F107" i="32"/>
  <c r="G107" i="32"/>
  <c r="F99" i="16"/>
  <c r="G99" i="16"/>
  <c r="F95" i="20"/>
  <c r="G95" i="20"/>
  <c r="F90" i="41"/>
  <c r="F104" i="15"/>
  <c r="G104" i="15"/>
  <c r="F100" i="15"/>
  <c r="G100" i="15"/>
  <c r="G112" i="43"/>
  <c r="F109" i="43"/>
  <c r="F101" i="37"/>
  <c r="F97" i="37"/>
  <c r="F93" i="37"/>
  <c r="F101" i="39"/>
  <c r="F97" i="39"/>
  <c r="F93" i="39"/>
  <c r="F92" i="18"/>
  <c r="G92" i="18"/>
  <c r="G93" i="19"/>
  <c r="F98" i="41"/>
  <c r="F103" i="16"/>
  <c r="G103" i="16"/>
  <c r="F105" i="43"/>
  <c r="F92" i="19"/>
  <c r="G92" i="19"/>
  <c r="F96" i="18"/>
  <c r="G96" i="18"/>
  <c r="G89" i="19"/>
  <c r="G107" i="14"/>
  <c r="G105" i="14"/>
  <c r="G103" i="14"/>
  <c r="G101" i="14"/>
  <c r="G99" i="14"/>
  <c r="G106" i="15"/>
  <c r="G102" i="15"/>
  <c r="G98" i="15"/>
  <c r="G90" i="19"/>
  <c r="G97" i="20"/>
  <c r="G93" i="20"/>
  <c r="G91" i="20"/>
  <c r="G89" i="20"/>
  <c r="F97" i="41"/>
  <c r="F93" i="41"/>
  <c r="F89" i="41"/>
  <c r="F82" i="44"/>
  <c r="F80" i="44"/>
  <c r="F78" i="44"/>
  <c r="F76" i="44"/>
  <c r="F74" i="44"/>
  <c r="F101" i="29"/>
  <c r="G106" i="31"/>
  <c r="G98" i="31"/>
  <c r="G102" i="31"/>
  <c r="F68" i="31"/>
  <c r="G68" i="31"/>
  <c r="F67" i="31"/>
  <c r="G67" i="31"/>
  <c r="F66" i="31"/>
  <c r="G66" i="31"/>
  <c r="F65" i="31"/>
  <c r="G65" i="31"/>
  <c r="G107" i="31"/>
  <c r="G103" i="31"/>
  <c r="G99" i="31"/>
  <c r="F104" i="31"/>
  <c r="F100" i="31"/>
  <c r="G70" i="31"/>
  <c r="F70" i="31"/>
  <c r="F69" i="31"/>
  <c r="F71" i="31"/>
  <c r="F72" i="31"/>
  <c r="F73" i="31"/>
  <c r="F74" i="31"/>
  <c r="F75" i="31"/>
  <c r="F82" i="30"/>
  <c r="G82" i="30"/>
  <c r="F90" i="30"/>
  <c r="G90" i="30"/>
  <c r="G86" i="30"/>
  <c r="F105" i="29"/>
  <c r="G106" i="29"/>
  <c r="G98" i="29"/>
  <c r="G102" i="29"/>
  <c r="G102" i="36"/>
  <c r="F102" i="36"/>
  <c r="G106" i="36"/>
  <c r="F106" i="36"/>
  <c r="G99" i="36"/>
  <c r="F99" i="36"/>
  <c r="G104" i="36"/>
  <c r="F104" i="36"/>
  <c r="G100" i="36"/>
  <c r="F100" i="36"/>
  <c r="G98" i="36"/>
  <c r="F98" i="36"/>
  <c r="G107" i="36"/>
  <c r="F107" i="36"/>
  <c r="G103" i="36"/>
  <c r="F103" i="36"/>
  <c r="G105" i="36"/>
  <c r="F105" i="36"/>
  <c r="G101" i="36"/>
  <c r="F101" i="36"/>
  <c r="F4" i="36"/>
  <c r="G4" i="36"/>
  <c r="F8" i="36"/>
  <c r="G8" i="36"/>
  <c r="F12" i="36"/>
  <c r="G12" i="36"/>
  <c r="F16" i="36"/>
  <c r="G16" i="36"/>
  <c r="F20" i="36"/>
  <c r="G20" i="36"/>
  <c r="F24" i="36"/>
  <c r="G24" i="36"/>
  <c r="F28" i="36"/>
  <c r="G28" i="36"/>
  <c r="F32" i="36"/>
  <c r="G32" i="36"/>
  <c r="F36" i="36"/>
  <c r="G36" i="36"/>
  <c r="F40" i="36"/>
  <c r="G40" i="36"/>
  <c r="F44" i="36"/>
  <c r="G44" i="36"/>
  <c r="F48" i="36"/>
  <c r="G48" i="36"/>
  <c r="F52" i="36"/>
  <c r="G52" i="36"/>
  <c r="F56" i="36"/>
  <c r="G56" i="36"/>
  <c r="F60" i="36"/>
  <c r="G60" i="36"/>
  <c r="F64" i="36"/>
  <c r="G64" i="36"/>
  <c r="F68" i="36"/>
  <c r="G68" i="36"/>
  <c r="F72" i="36"/>
  <c r="G72" i="36"/>
  <c r="F76" i="36"/>
  <c r="G76" i="36"/>
  <c r="F3" i="36"/>
  <c r="G3" i="36"/>
  <c r="F7" i="36"/>
  <c r="G7" i="36"/>
  <c r="F11" i="36"/>
  <c r="G11" i="36"/>
  <c r="F15" i="36"/>
  <c r="G15" i="36"/>
  <c r="F19" i="36"/>
  <c r="G19" i="36"/>
  <c r="F23" i="36"/>
  <c r="G23" i="36"/>
  <c r="F27" i="36"/>
  <c r="G27" i="36"/>
  <c r="F31" i="36"/>
  <c r="G31" i="36"/>
  <c r="F35" i="36"/>
  <c r="G35" i="36"/>
  <c r="F39" i="36"/>
  <c r="G39" i="36"/>
  <c r="F43" i="36"/>
  <c r="G43" i="36"/>
  <c r="F47" i="36"/>
  <c r="G47" i="36"/>
  <c r="F51" i="36"/>
  <c r="G51" i="36"/>
  <c r="F55" i="36"/>
  <c r="G55" i="36"/>
  <c r="F59" i="36"/>
  <c r="G59" i="36"/>
  <c r="F63" i="36"/>
  <c r="G63" i="36"/>
  <c r="F67" i="36"/>
  <c r="G67" i="36"/>
  <c r="F71" i="36"/>
  <c r="G71" i="36"/>
  <c r="F75" i="36"/>
  <c r="G75" i="36"/>
  <c r="F6" i="36"/>
  <c r="G6" i="36"/>
  <c r="F10" i="36"/>
  <c r="G10" i="36"/>
  <c r="F14" i="36"/>
  <c r="G14" i="36"/>
  <c r="F18" i="36"/>
  <c r="G18" i="36"/>
  <c r="F22" i="36"/>
  <c r="G22" i="36"/>
  <c r="F26" i="36"/>
  <c r="G26" i="36"/>
  <c r="F30" i="36"/>
  <c r="G30" i="36"/>
  <c r="F34" i="36"/>
  <c r="G34" i="36"/>
  <c r="F38" i="36"/>
  <c r="G38" i="36"/>
  <c r="F42" i="36"/>
  <c r="G42" i="36"/>
  <c r="F46" i="36"/>
  <c r="G46" i="36"/>
  <c r="F50" i="36"/>
  <c r="G50" i="36"/>
  <c r="F54" i="36"/>
  <c r="G54" i="36"/>
  <c r="F58" i="36"/>
  <c r="G58" i="36"/>
  <c r="F62" i="36"/>
  <c r="G62" i="36"/>
  <c r="F66" i="36"/>
  <c r="G66" i="36"/>
  <c r="F70" i="36"/>
  <c r="G70" i="36"/>
  <c r="F74" i="36"/>
  <c r="G74" i="36"/>
  <c r="F5" i="36"/>
  <c r="G5" i="36"/>
  <c r="F9" i="36"/>
  <c r="G9" i="36"/>
  <c r="F13" i="36"/>
  <c r="G13" i="36"/>
  <c r="F17" i="36"/>
  <c r="G17" i="36"/>
  <c r="F21" i="36"/>
  <c r="G21" i="36"/>
  <c r="F25" i="36"/>
  <c r="G25" i="36"/>
  <c r="F29" i="36"/>
  <c r="G29" i="36"/>
  <c r="F33" i="36"/>
  <c r="G33" i="36"/>
  <c r="F37" i="36"/>
  <c r="G37" i="36"/>
  <c r="F41" i="36"/>
  <c r="G41" i="36"/>
  <c r="F45" i="36"/>
  <c r="G45" i="36"/>
  <c r="F49" i="36"/>
  <c r="G49" i="36"/>
  <c r="F53" i="36"/>
  <c r="G53" i="36"/>
  <c r="F57" i="36"/>
  <c r="G57" i="36"/>
  <c r="F61" i="36"/>
  <c r="G61" i="36"/>
  <c r="F65" i="36"/>
  <c r="G65" i="36"/>
  <c r="F69" i="36"/>
  <c r="G69" i="36"/>
  <c r="F73" i="36"/>
  <c r="G73" i="36"/>
  <c r="G5" i="31"/>
  <c r="F5" i="31"/>
  <c r="G9" i="31"/>
  <c r="F9" i="31"/>
  <c r="G13" i="31"/>
  <c r="F13" i="31"/>
  <c r="G17" i="31"/>
  <c r="F17" i="31"/>
  <c r="G21" i="31"/>
  <c r="F21" i="31"/>
  <c r="G25" i="31"/>
  <c r="F25" i="31"/>
  <c r="G29" i="31"/>
  <c r="F29" i="31"/>
  <c r="G33" i="31"/>
  <c r="F33" i="31"/>
  <c r="F37" i="31"/>
  <c r="G37" i="31"/>
  <c r="G41" i="31"/>
  <c r="F41" i="31"/>
  <c r="G45" i="31"/>
  <c r="F45" i="31"/>
  <c r="G49" i="31"/>
  <c r="F49" i="31"/>
  <c r="G53" i="31"/>
  <c r="F53" i="31"/>
  <c r="G57" i="31"/>
  <c r="F57" i="31"/>
  <c r="G61" i="31"/>
  <c r="F61" i="31"/>
  <c r="G76" i="31"/>
  <c r="F76" i="31"/>
  <c r="G4" i="31"/>
  <c r="F4" i="31"/>
  <c r="G8" i="31"/>
  <c r="F8" i="31"/>
  <c r="G12" i="31"/>
  <c r="F12" i="31"/>
  <c r="G16" i="31"/>
  <c r="F16" i="31"/>
  <c r="G20" i="31"/>
  <c r="F20" i="31"/>
  <c r="G24" i="31"/>
  <c r="F24" i="31"/>
  <c r="G28" i="31"/>
  <c r="F28" i="31"/>
  <c r="G32" i="31"/>
  <c r="F32" i="31"/>
  <c r="G36" i="31"/>
  <c r="F36" i="31"/>
  <c r="G40" i="31"/>
  <c r="F40" i="31"/>
  <c r="G44" i="31"/>
  <c r="F44" i="31"/>
  <c r="G48" i="31"/>
  <c r="F48" i="31"/>
  <c r="G52" i="31"/>
  <c r="F52" i="31"/>
  <c r="G56" i="31"/>
  <c r="F56" i="31"/>
  <c r="G60" i="31"/>
  <c r="F60" i="31"/>
  <c r="G64" i="31"/>
  <c r="F64" i="31"/>
  <c r="G3" i="31"/>
  <c r="F3" i="31"/>
  <c r="G7" i="31"/>
  <c r="F7" i="31"/>
  <c r="G11" i="31"/>
  <c r="F11" i="31"/>
  <c r="G15" i="31"/>
  <c r="F15" i="31"/>
  <c r="G19" i="31"/>
  <c r="F19" i="31"/>
  <c r="G23" i="31"/>
  <c r="F23" i="31"/>
  <c r="G27" i="31"/>
  <c r="F27" i="31"/>
  <c r="G31" i="31"/>
  <c r="F31" i="31"/>
  <c r="G35" i="31"/>
  <c r="F35" i="31"/>
  <c r="G39" i="31"/>
  <c r="F39" i="31"/>
  <c r="G43" i="31"/>
  <c r="F43" i="31"/>
  <c r="G47" i="31"/>
  <c r="F47" i="31"/>
  <c r="G51" i="31"/>
  <c r="F51" i="31"/>
  <c r="G55" i="31"/>
  <c r="F55" i="31"/>
  <c r="G59" i="31"/>
  <c r="F59" i="31"/>
  <c r="G63" i="31"/>
  <c r="F63" i="31"/>
  <c r="G6" i="31"/>
  <c r="F6" i="31"/>
  <c r="G10" i="31"/>
  <c r="F10" i="31"/>
  <c r="G14" i="31"/>
  <c r="F14" i="31"/>
  <c r="G18" i="31"/>
  <c r="F18" i="31"/>
  <c r="G22" i="31"/>
  <c r="F22" i="31"/>
  <c r="G26" i="31"/>
  <c r="F26" i="31"/>
  <c r="G30" i="31"/>
  <c r="F30" i="31"/>
  <c r="G34" i="31"/>
  <c r="F34" i="31"/>
  <c r="G38" i="31"/>
  <c r="F38" i="31"/>
  <c r="G42" i="31"/>
  <c r="F42" i="31"/>
  <c r="G46" i="31"/>
  <c r="F46" i="31"/>
  <c r="G50" i="31"/>
  <c r="F50" i="31"/>
  <c r="G54" i="31"/>
  <c r="F54" i="31"/>
  <c r="G58" i="31"/>
  <c r="F58" i="31"/>
  <c r="G62" i="31"/>
  <c r="F62" i="31"/>
  <c r="F68" i="30"/>
  <c r="G68" i="30"/>
  <c r="F3" i="30"/>
  <c r="G3" i="30"/>
  <c r="F7" i="30"/>
  <c r="G7" i="30"/>
  <c r="F11" i="30"/>
  <c r="G11" i="30"/>
  <c r="F15" i="30"/>
  <c r="G15" i="30"/>
  <c r="F19" i="30"/>
  <c r="G19" i="30"/>
  <c r="F23" i="30"/>
  <c r="G23" i="30"/>
  <c r="F27" i="30"/>
  <c r="G27" i="30"/>
  <c r="F31" i="30"/>
  <c r="G31" i="30"/>
  <c r="F35" i="30"/>
  <c r="G35" i="30"/>
  <c r="F39" i="30"/>
  <c r="G39" i="30"/>
  <c r="F43" i="30"/>
  <c r="G43" i="30"/>
  <c r="F47" i="30"/>
  <c r="G47" i="30"/>
  <c r="F51" i="30"/>
  <c r="G51" i="30"/>
  <c r="F55" i="30"/>
  <c r="G55" i="30"/>
  <c r="F59" i="30"/>
  <c r="G59" i="30"/>
  <c r="F63" i="30"/>
  <c r="G63" i="30"/>
  <c r="F67" i="30"/>
  <c r="G67" i="30"/>
  <c r="F71" i="30"/>
  <c r="G71" i="30"/>
  <c r="F75" i="30"/>
  <c r="G75" i="30"/>
  <c r="F4" i="30"/>
  <c r="G4" i="30"/>
  <c r="F12" i="30"/>
  <c r="G12" i="30"/>
  <c r="F20" i="30"/>
  <c r="G20" i="30"/>
  <c r="F28" i="30"/>
  <c r="G28" i="30"/>
  <c r="F36" i="30"/>
  <c r="G36" i="30"/>
  <c r="F48" i="30"/>
  <c r="G48" i="30"/>
  <c r="F52" i="30"/>
  <c r="G52" i="30"/>
  <c r="F60" i="30"/>
  <c r="G60" i="30"/>
  <c r="F76" i="30"/>
  <c r="G76" i="30"/>
  <c r="F6" i="30"/>
  <c r="G6" i="30"/>
  <c r="F10" i="30"/>
  <c r="G10" i="30"/>
  <c r="F14" i="30"/>
  <c r="G14" i="30"/>
  <c r="F18" i="30"/>
  <c r="G18" i="30"/>
  <c r="F22" i="30"/>
  <c r="G22" i="30"/>
  <c r="F26" i="30"/>
  <c r="G26" i="30"/>
  <c r="F30" i="30"/>
  <c r="G30" i="30"/>
  <c r="F34" i="30"/>
  <c r="G34" i="30"/>
  <c r="F38" i="30"/>
  <c r="G38" i="30"/>
  <c r="F42" i="30"/>
  <c r="G42" i="30"/>
  <c r="F46" i="30"/>
  <c r="G46" i="30"/>
  <c r="F50" i="30"/>
  <c r="G50" i="30"/>
  <c r="F54" i="30"/>
  <c r="G54" i="30"/>
  <c r="F58" i="30"/>
  <c r="G58" i="30"/>
  <c r="F62" i="30"/>
  <c r="G62" i="30"/>
  <c r="F66" i="30"/>
  <c r="G66" i="30"/>
  <c r="F70" i="30"/>
  <c r="G70" i="30"/>
  <c r="F74" i="30"/>
  <c r="G74" i="30"/>
  <c r="F8" i="30"/>
  <c r="G8" i="30"/>
  <c r="F16" i="30"/>
  <c r="G16" i="30"/>
  <c r="F24" i="30"/>
  <c r="G24" i="30"/>
  <c r="F32" i="30"/>
  <c r="G32" i="30"/>
  <c r="F40" i="30"/>
  <c r="G40" i="30"/>
  <c r="F44" i="30"/>
  <c r="G44" i="30"/>
  <c r="F56" i="30"/>
  <c r="G56" i="30"/>
  <c r="F64" i="30"/>
  <c r="G64" i="30"/>
  <c r="F72" i="30"/>
  <c r="G72" i="30"/>
  <c r="F5" i="30"/>
  <c r="G5" i="30"/>
  <c r="F9" i="30"/>
  <c r="G9" i="30"/>
  <c r="F13" i="30"/>
  <c r="G13" i="30"/>
  <c r="F17" i="30"/>
  <c r="G17" i="30"/>
  <c r="F21" i="30"/>
  <c r="G21" i="30"/>
  <c r="F25" i="30"/>
  <c r="G25" i="30"/>
  <c r="F29" i="30"/>
  <c r="G29" i="30"/>
  <c r="F33" i="30"/>
  <c r="G33" i="30"/>
  <c r="F37" i="30"/>
  <c r="G37" i="30"/>
  <c r="F41" i="30"/>
  <c r="G41" i="30"/>
  <c r="F45" i="30"/>
  <c r="G45" i="30"/>
  <c r="F49" i="30"/>
  <c r="G49" i="30"/>
  <c r="F53" i="30"/>
  <c r="G53" i="30"/>
  <c r="F57" i="30"/>
  <c r="G57" i="30"/>
  <c r="F61" i="30"/>
  <c r="G61" i="30"/>
  <c r="F65" i="30"/>
  <c r="G65" i="30"/>
  <c r="F69" i="30"/>
  <c r="G69" i="30"/>
  <c r="F73" i="30"/>
  <c r="G73" i="30"/>
  <c r="F79" i="29"/>
  <c r="G79" i="29"/>
  <c r="F83" i="29"/>
  <c r="G83" i="29"/>
  <c r="G3" i="29"/>
  <c r="G4" i="29"/>
  <c r="G5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87" i="29"/>
  <c r="G104" i="35"/>
  <c r="F100" i="35"/>
  <c r="F3" i="35"/>
  <c r="G3" i="35"/>
  <c r="F7" i="35"/>
  <c r="G7" i="35"/>
  <c r="F11" i="35"/>
  <c r="G11" i="35"/>
  <c r="F15" i="35"/>
  <c r="G15" i="35"/>
  <c r="F19" i="35"/>
  <c r="G19" i="35"/>
  <c r="F23" i="35"/>
  <c r="G23" i="35"/>
  <c r="F27" i="35"/>
  <c r="G27" i="35"/>
  <c r="F31" i="35"/>
  <c r="G31" i="35"/>
  <c r="F35" i="35"/>
  <c r="G35" i="35"/>
  <c r="F39" i="35"/>
  <c r="G39" i="35"/>
  <c r="F43" i="35"/>
  <c r="G43" i="35"/>
  <c r="F47" i="35"/>
  <c r="G47" i="35"/>
  <c r="F51" i="35"/>
  <c r="G51" i="35"/>
  <c r="F55" i="35"/>
  <c r="G55" i="35"/>
  <c r="F59" i="35"/>
  <c r="G59" i="35"/>
  <c r="F6" i="35"/>
  <c r="G6" i="35"/>
  <c r="F10" i="35"/>
  <c r="G10" i="35"/>
  <c r="F14" i="35"/>
  <c r="G14" i="35"/>
  <c r="F18" i="35"/>
  <c r="G18" i="35"/>
  <c r="F22" i="35"/>
  <c r="G22" i="35"/>
  <c r="F26" i="35"/>
  <c r="G26" i="35"/>
  <c r="F30" i="35"/>
  <c r="G30" i="35"/>
  <c r="F34" i="35"/>
  <c r="G34" i="35"/>
  <c r="F38" i="35"/>
  <c r="G38" i="35"/>
  <c r="F42" i="35"/>
  <c r="G42" i="35"/>
  <c r="F46" i="35"/>
  <c r="G46" i="35"/>
  <c r="F50" i="35"/>
  <c r="G50" i="35"/>
  <c r="F54" i="35"/>
  <c r="G54" i="35"/>
  <c r="F58" i="35"/>
  <c r="G58" i="35"/>
  <c r="F5" i="35"/>
  <c r="G5" i="35"/>
  <c r="F9" i="35"/>
  <c r="G9" i="35"/>
  <c r="F13" i="35"/>
  <c r="G13" i="35"/>
  <c r="F17" i="35"/>
  <c r="G17" i="35"/>
  <c r="F21" i="35"/>
  <c r="G21" i="35"/>
  <c r="F25" i="35"/>
  <c r="G25" i="35"/>
  <c r="F29" i="35"/>
  <c r="G29" i="35"/>
  <c r="F33" i="35"/>
  <c r="G33" i="35"/>
  <c r="F37" i="35"/>
  <c r="G37" i="35"/>
  <c r="F41" i="35"/>
  <c r="G41" i="35"/>
  <c r="F45" i="35"/>
  <c r="G45" i="35"/>
  <c r="F49" i="35"/>
  <c r="G49" i="35"/>
  <c r="F53" i="35"/>
  <c r="G53" i="35"/>
  <c r="F57" i="35"/>
  <c r="G57" i="35"/>
  <c r="F4" i="35"/>
  <c r="G4" i="35"/>
  <c r="F8" i="35"/>
  <c r="G8" i="35"/>
  <c r="F12" i="35"/>
  <c r="G12" i="35"/>
  <c r="F16" i="35"/>
  <c r="G16" i="35"/>
  <c r="F20" i="35"/>
  <c r="G20" i="35"/>
  <c r="F24" i="35"/>
  <c r="G24" i="35"/>
  <c r="F28" i="35"/>
  <c r="G28" i="35"/>
  <c r="F32" i="35"/>
  <c r="G32" i="35"/>
  <c r="F36" i="35"/>
  <c r="G36" i="35"/>
  <c r="F40" i="35"/>
  <c r="G40" i="35"/>
  <c r="F44" i="35"/>
  <c r="G44" i="35"/>
  <c r="F48" i="35"/>
  <c r="G48" i="35"/>
  <c r="F52" i="35"/>
  <c r="G52" i="35"/>
  <c r="F56" i="35"/>
  <c r="G56" i="35"/>
  <c r="F3" i="34"/>
  <c r="G3" i="34"/>
  <c r="F7" i="34"/>
  <c r="G7" i="34"/>
  <c r="F11" i="34"/>
  <c r="G11" i="34"/>
  <c r="F15" i="34"/>
  <c r="G15" i="34"/>
  <c r="F19" i="34"/>
  <c r="G19" i="34"/>
  <c r="F23" i="34"/>
  <c r="G23" i="34"/>
  <c r="F27" i="34"/>
  <c r="G27" i="34"/>
  <c r="F31" i="34"/>
  <c r="G31" i="34"/>
  <c r="F35" i="34"/>
  <c r="G35" i="34"/>
  <c r="F39" i="34"/>
  <c r="G39" i="34"/>
  <c r="F43" i="34"/>
  <c r="G43" i="34"/>
  <c r="F47" i="34"/>
  <c r="G47" i="34"/>
  <c r="F51" i="34"/>
  <c r="G51" i="34"/>
  <c r="F55" i="34"/>
  <c r="G55" i="34"/>
  <c r="F59" i="34"/>
  <c r="G59" i="34"/>
  <c r="F6" i="34"/>
  <c r="G6" i="34"/>
  <c r="F10" i="34"/>
  <c r="G10" i="34"/>
  <c r="F14" i="34"/>
  <c r="G14" i="34"/>
  <c r="F18" i="34"/>
  <c r="G18" i="34"/>
  <c r="F22" i="34"/>
  <c r="G22" i="34"/>
  <c r="F26" i="34"/>
  <c r="G26" i="34"/>
  <c r="F30" i="34"/>
  <c r="G30" i="34"/>
  <c r="F34" i="34"/>
  <c r="G34" i="34"/>
  <c r="F38" i="34"/>
  <c r="G38" i="34"/>
  <c r="F42" i="34"/>
  <c r="G42" i="34"/>
  <c r="F46" i="34"/>
  <c r="G46" i="34"/>
  <c r="F50" i="34"/>
  <c r="G50" i="34"/>
  <c r="F54" i="34"/>
  <c r="G54" i="34"/>
  <c r="F58" i="34"/>
  <c r="G58" i="34"/>
  <c r="F5" i="34"/>
  <c r="G5" i="34"/>
  <c r="F9" i="34"/>
  <c r="G9" i="34"/>
  <c r="F13" i="34"/>
  <c r="G13" i="34"/>
  <c r="F17" i="34"/>
  <c r="G17" i="34"/>
  <c r="F21" i="34"/>
  <c r="G21" i="34"/>
  <c r="F25" i="34"/>
  <c r="G25" i="34"/>
  <c r="F29" i="34"/>
  <c r="G29" i="34"/>
  <c r="F33" i="34"/>
  <c r="G33" i="34"/>
  <c r="F37" i="34"/>
  <c r="G37" i="34"/>
  <c r="F41" i="34"/>
  <c r="G41" i="34"/>
  <c r="F45" i="34"/>
  <c r="G45" i="34"/>
  <c r="F49" i="34"/>
  <c r="G49" i="34"/>
  <c r="F53" i="34"/>
  <c r="G53" i="34"/>
  <c r="F57" i="34"/>
  <c r="G57" i="34"/>
  <c r="F4" i="34"/>
  <c r="G4" i="34"/>
  <c r="F8" i="34"/>
  <c r="G8" i="34"/>
  <c r="F12" i="34"/>
  <c r="G12" i="34"/>
  <c r="F16" i="34"/>
  <c r="G16" i="34"/>
  <c r="F20" i="34"/>
  <c r="G20" i="34"/>
  <c r="F24" i="34"/>
  <c r="G24" i="34"/>
  <c r="F28" i="34"/>
  <c r="G28" i="34"/>
  <c r="F32" i="34"/>
  <c r="G32" i="34"/>
  <c r="F36" i="34"/>
  <c r="G36" i="34"/>
  <c r="F40" i="34"/>
  <c r="G40" i="34"/>
  <c r="F44" i="34"/>
  <c r="G44" i="34"/>
  <c r="F48" i="34"/>
  <c r="G48" i="34"/>
  <c r="F52" i="34"/>
  <c r="G52" i="34"/>
  <c r="F56" i="34"/>
  <c r="G56" i="34"/>
  <c r="F3" i="33"/>
  <c r="G3" i="33"/>
  <c r="F7" i="33"/>
  <c r="G7" i="33"/>
  <c r="F11" i="33"/>
  <c r="G11" i="33"/>
  <c r="F15" i="33"/>
  <c r="G15" i="33"/>
  <c r="F19" i="33"/>
  <c r="G19" i="33"/>
  <c r="F23" i="33"/>
  <c r="G23" i="33"/>
  <c r="F27" i="33"/>
  <c r="G27" i="33"/>
  <c r="F31" i="33"/>
  <c r="G31" i="33"/>
  <c r="F35" i="33"/>
  <c r="G35" i="33"/>
  <c r="F39" i="33"/>
  <c r="G39" i="33"/>
  <c r="F43" i="33"/>
  <c r="G43" i="33"/>
  <c r="F47" i="33"/>
  <c r="G47" i="33"/>
  <c r="F51" i="33"/>
  <c r="G51" i="33"/>
  <c r="F55" i="33"/>
  <c r="G55" i="33"/>
  <c r="F59" i="33"/>
  <c r="G59" i="33"/>
  <c r="F6" i="33"/>
  <c r="G6" i="33"/>
  <c r="F10" i="33"/>
  <c r="G10" i="33"/>
  <c r="F14" i="33"/>
  <c r="G14" i="33"/>
  <c r="F18" i="33"/>
  <c r="G18" i="33"/>
  <c r="F22" i="33"/>
  <c r="G22" i="33"/>
  <c r="F26" i="33"/>
  <c r="G26" i="33"/>
  <c r="F30" i="33"/>
  <c r="G30" i="33"/>
  <c r="F34" i="33"/>
  <c r="G34" i="33"/>
  <c r="F38" i="33"/>
  <c r="G38" i="33"/>
  <c r="F42" i="33"/>
  <c r="G42" i="33"/>
  <c r="F46" i="33"/>
  <c r="G46" i="33"/>
  <c r="F50" i="33"/>
  <c r="G50" i="33"/>
  <c r="F54" i="33"/>
  <c r="G54" i="33"/>
  <c r="F58" i="33"/>
  <c r="G58" i="33"/>
  <c r="F5" i="33"/>
  <c r="G5" i="33"/>
  <c r="F9" i="33"/>
  <c r="G9" i="33"/>
  <c r="F13" i="33"/>
  <c r="G13" i="33"/>
  <c r="F17" i="33"/>
  <c r="G17" i="33"/>
  <c r="F21" i="33"/>
  <c r="G21" i="33"/>
  <c r="F25" i="33"/>
  <c r="G25" i="33"/>
  <c r="F29" i="33"/>
  <c r="G29" i="33"/>
  <c r="F33" i="33"/>
  <c r="G33" i="33"/>
  <c r="F37" i="33"/>
  <c r="G37" i="33"/>
  <c r="F41" i="33"/>
  <c r="G41" i="33"/>
  <c r="F45" i="33"/>
  <c r="G45" i="33"/>
  <c r="F49" i="33"/>
  <c r="G49" i="33"/>
  <c r="F53" i="33"/>
  <c r="G53" i="33"/>
  <c r="F57" i="33"/>
  <c r="G57" i="33"/>
  <c r="F4" i="33"/>
  <c r="G4" i="33"/>
  <c r="F8" i="33"/>
  <c r="G8" i="33"/>
  <c r="F12" i="33"/>
  <c r="G12" i="33"/>
  <c r="F16" i="33"/>
  <c r="G16" i="33"/>
  <c r="F20" i="33"/>
  <c r="G20" i="33"/>
  <c r="F24" i="33"/>
  <c r="G24" i="33"/>
  <c r="F28" i="33"/>
  <c r="G28" i="33"/>
  <c r="F32" i="33"/>
  <c r="G32" i="33"/>
  <c r="F36" i="33"/>
  <c r="G36" i="33"/>
  <c r="F40" i="33"/>
  <c r="G40" i="33"/>
  <c r="F44" i="33"/>
  <c r="G44" i="33"/>
  <c r="F48" i="33"/>
  <c r="G48" i="33"/>
  <c r="F52" i="33"/>
  <c r="G52" i="33"/>
  <c r="F56" i="33"/>
  <c r="G56" i="33"/>
  <c r="G103" i="32"/>
  <c r="F104" i="32"/>
  <c r="G99" i="32"/>
  <c r="F100" i="32"/>
  <c r="F7" i="32"/>
  <c r="G7" i="32"/>
  <c r="F15" i="32"/>
  <c r="G15" i="32"/>
  <c r="F23" i="32"/>
  <c r="G23" i="32"/>
  <c r="F27" i="32"/>
  <c r="G27" i="32"/>
  <c r="F35" i="32"/>
  <c r="G35" i="32"/>
  <c r="F43" i="32"/>
  <c r="G43" i="32"/>
  <c r="F55" i="32"/>
  <c r="G55" i="32"/>
  <c r="F4" i="32"/>
  <c r="G4" i="32"/>
  <c r="F8" i="32"/>
  <c r="G8" i="32"/>
  <c r="F12" i="32"/>
  <c r="G12" i="32"/>
  <c r="F16" i="32"/>
  <c r="G16" i="32"/>
  <c r="F20" i="32"/>
  <c r="G20" i="32"/>
  <c r="F24" i="32"/>
  <c r="G24" i="32"/>
  <c r="F28" i="32"/>
  <c r="G28" i="32"/>
  <c r="F32" i="32"/>
  <c r="G32" i="32"/>
  <c r="F36" i="32"/>
  <c r="G36" i="32"/>
  <c r="F40" i="32"/>
  <c r="G40" i="32"/>
  <c r="F44" i="32"/>
  <c r="G44" i="32"/>
  <c r="F48" i="32"/>
  <c r="G48" i="32"/>
  <c r="F52" i="32"/>
  <c r="G52" i="32"/>
  <c r="F56" i="32"/>
  <c r="G56" i="32"/>
  <c r="F51" i="32"/>
  <c r="G51" i="32"/>
  <c r="F6" i="32"/>
  <c r="G6" i="32"/>
  <c r="F10" i="32"/>
  <c r="G10" i="32"/>
  <c r="F14" i="32"/>
  <c r="G14" i="32"/>
  <c r="F18" i="32"/>
  <c r="G18" i="32"/>
  <c r="F22" i="32"/>
  <c r="G22" i="32"/>
  <c r="F26" i="32"/>
  <c r="G26" i="32"/>
  <c r="F30" i="32"/>
  <c r="G30" i="32"/>
  <c r="F34" i="32"/>
  <c r="G34" i="32"/>
  <c r="F38" i="32"/>
  <c r="G38" i="32"/>
  <c r="F42" i="32"/>
  <c r="G42" i="32"/>
  <c r="F46" i="32"/>
  <c r="G46" i="32"/>
  <c r="F50" i="32"/>
  <c r="G50" i="32"/>
  <c r="F54" i="32"/>
  <c r="G54" i="32"/>
  <c r="F58" i="32"/>
  <c r="G58" i="32"/>
  <c r="F3" i="32"/>
  <c r="G3" i="32"/>
  <c r="F11" i="32"/>
  <c r="G11" i="32"/>
  <c r="F19" i="32"/>
  <c r="G19" i="32"/>
  <c r="F31" i="32"/>
  <c r="G31" i="32"/>
  <c r="F39" i="32"/>
  <c r="G39" i="32"/>
  <c r="F47" i="32"/>
  <c r="G47" i="32"/>
  <c r="F59" i="32"/>
  <c r="G59" i="32"/>
  <c r="F5" i="32"/>
  <c r="G5" i="32"/>
  <c r="F9" i="32"/>
  <c r="G9" i="32"/>
  <c r="F13" i="32"/>
  <c r="G13" i="32"/>
  <c r="F17" i="32"/>
  <c r="G17" i="32"/>
  <c r="F21" i="32"/>
  <c r="G21" i="32"/>
  <c r="F25" i="32"/>
  <c r="G25" i="32"/>
  <c r="F29" i="32"/>
  <c r="G29" i="32"/>
  <c r="F33" i="32"/>
  <c r="G33" i="32"/>
  <c r="F37" i="32"/>
  <c r="G37" i="32"/>
  <c r="F41" i="32"/>
  <c r="G41" i="32"/>
  <c r="F45" i="32"/>
  <c r="G45" i="32"/>
  <c r="F49" i="32"/>
  <c r="G49" i="32"/>
  <c r="F53" i="32"/>
  <c r="G53" i="32"/>
  <c r="F57" i="32"/>
  <c r="G57" i="32"/>
  <c r="F107" i="35"/>
  <c r="F105" i="35"/>
  <c r="F103" i="35"/>
  <c r="F101" i="35"/>
  <c r="F99" i="35"/>
  <c r="F106" i="35"/>
  <c r="F102" i="35"/>
  <c r="F98" i="35"/>
  <c r="F63" i="35"/>
  <c r="G63" i="35"/>
  <c r="F67" i="35"/>
  <c r="G67" i="35"/>
  <c r="F71" i="35"/>
  <c r="G71" i="35"/>
  <c r="G75" i="35"/>
  <c r="F61" i="35"/>
  <c r="G61" i="35"/>
  <c r="F65" i="35"/>
  <c r="G65" i="35"/>
  <c r="F69" i="35"/>
  <c r="G69" i="35"/>
  <c r="F73" i="35"/>
  <c r="G73" i="35"/>
  <c r="F60" i="35"/>
  <c r="G60" i="35"/>
  <c r="F64" i="35"/>
  <c r="G64" i="35"/>
  <c r="F68" i="35"/>
  <c r="G68" i="35"/>
  <c r="F72" i="35"/>
  <c r="G72" i="35"/>
  <c r="F76" i="35"/>
  <c r="G76" i="35"/>
  <c r="F62" i="35"/>
  <c r="G62" i="35"/>
  <c r="G66" i="35"/>
  <c r="F66" i="35"/>
  <c r="F70" i="35"/>
  <c r="G70" i="35"/>
  <c r="F74" i="35"/>
  <c r="G74" i="35"/>
  <c r="G107" i="34"/>
  <c r="F107" i="34"/>
  <c r="G103" i="34"/>
  <c r="F103" i="34"/>
  <c r="G99" i="34"/>
  <c r="F99" i="34"/>
  <c r="F104" i="34"/>
  <c r="G104" i="34"/>
  <c r="F100" i="34"/>
  <c r="G100" i="34"/>
  <c r="G105" i="34"/>
  <c r="F105" i="34"/>
  <c r="G101" i="34"/>
  <c r="F101" i="34"/>
  <c r="F106" i="34"/>
  <c r="G106" i="34"/>
  <c r="F102" i="34"/>
  <c r="G102" i="34"/>
  <c r="G98" i="34"/>
  <c r="F60" i="34"/>
  <c r="G60" i="34"/>
  <c r="F64" i="34"/>
  <c r="G64" i="34"/>
  <c r="F68" i="34"/>
  <c r="G68" i="34"/>
  <c r="F72" i="34"/>
  <c r="G72" i="34"/>
  <c r="F76" i="34"/>
  <c r="G76" i="34"/>
  <c r="F63" i="34"/>
  <c r="G63" i="34"/>
  <c r="F67" i="34"/>
  <c r="G67" i="34"/>
  <c r="F71" i="34"/>
  <c r="G71" i="34"/>
  <c r="F75" i="34"/>
  <c r="G75" i="34"/>
  <c r="F62" i="34"/>
  <c r="G62" i="34"/>
  <c r="F66" i="34"/>
  <c r="G66" i="34"/>
  <c r="F70" i="34"/>
  <c r="G70" i="34"/>
  <c r="F74" i="34"/>
  <c r="G74" i="34"/>
  <c r="F61" i="34"/>
  <c r="G61" i="34"/>
  <c r="F65" i="34"/>
  <c r="G65" i="34"/>
  <c r="F69" i="34"/>
  <c r="G69" i="34"/>
  <c r="F73" i="34"/>
  <c r="G73" i="34"/>
  <c r="G106" i="32"/>
  <c r="G105" i="32"/>
  <c r="G101" i="32"/>
  <c r="F102" i="32"/>
  <c r="F98" i="32"/>
  <c r="F60" i="33"/>
  <c r="G60" i="33"/>
  <c r="F64" i="33"/>
  <c r="G64" i="33"/>
  <c r="F68" i="33"/>
  <c r="G68" i="33"/>
  <c r="F72" i="33"/>
  <c r="G72" i="33"/>
  <c r="F76" i="33"/>
  <c r="G76" i="33"/>
  <c r="F63" i="33"/>
  <c r="G63" i="33"/>
  <c r="F67" i="33"/>
  <c r="G67" i="33"/>
  <c r="F71" i="33"/>
  <c r="G71" i="33"/>
  <c r="F75" i="33"/>
  <c r="G75" i="33"/>
  <c r="F62" i="33"/>
  <c r="G62" i="33"/>
  <c r="F66" i="33"/>
  <c r="G66" i="33"/>
  <c r="F70" i="33"/>
  <c r="G70" i="33"/>
  <c r="F74" i="33"/>
  <c r="G74" i="33"/>
  <c r="F61" i="33"/>
  <c r="G61" i="33"/>
  <c r="F65" i="33"/>
  <c r="G65" i="33"/>
  <c r="F69" i="33"/>
  <c r="G69" i="33"/>
  <c r="F73" i="33"/>
  <c r="G73" i="33"/>
  <c r="F60" i="32"/>
  <c r="G60" i="32"/>
  <c r="F64" i="32"/>
  <c r="G64" i="32"/>
  <c r="F68" i="32"/>
  <c r="G68" i="32"/>
  <c r="F72" i="32"/>
  <c r="G72" i="32"/>
  <c r="F76" i="32"/>
  <c r="G76" i="32"/>
  <c r="F63" i="32"/>
  <c r="G63" i="32"/>
  <c r="F67" i="32"/>
  <c r="G67" i="32"/>
  <c r="F71" i="32"/>
  <c r="G71" i="32"/>
  <c r="F75" i="32"/>
  <c r="G75" i="32"/>
  <c r="F62" i="32"/>
  <c r="G62" i="32"/>
  <c r="F66" i="32"/>
  <c r="G66" i="32"/>
  <c r="F70" i="32"/>
  <c r="G70" i="32"/>
  <c r="F74" i="32"/>
  <c r="G74" i="32"/>
  <c r="F61" i="32"/>
  <c r="G61" i="32"/>
  <c r="F65" i="32"/>
  <c r="G65" i="32"/>
  <c r="F69" i="32"/>
  <c r="G69" i="32"/>
  <c r="F73" i="32"/>
  <c r="G73" i="32"/>
  <c r="G80" i="36"/>
  <c r="F80" i="36"/>
  <c r="G84" i="36"/>
  <c r="F84" i="36"/>
  <c r="G88" i="36"/>
  <c r="F88" i="36"/>
  <c r="G92" i="36"/>
  <c r="F92" i="36"/>
  <c r="G79" i="36"/>
  <c r="F79" i="36"/>
  <c r="G83" i="36"/>
  <c r="F83" i="36"/>
  <c r="G87" i="36"/>
  <c r="F87" i="36"/>
  <c r="G91" i="36"/>
  <c r="F91" i="36"/>
  <c r="G78" i="36"/>
  <c r="F78" i="36"/>
  <c r="G82" i="36"/>
  <c r="F82" i="36"/>
  <c r="G86" i="36"/>
  <c r="F86" i="36"/>
  <c r="G90" i="36"/>
  <c r="F90" i="36"/>
  <c r="G77" i="36"/>
  <c r="F77" i="36"/>
  <c r="G81" i="36"/>
  <c r="F81" i="36"/>
  <c r="G85" i="36"/>
  <c r="F85" i="36"/>
  <c r="G89" i="36"/>
  <c r="F89" i="36"/>
  <c r="F80" i="35"/>
  <c r="G80" i="35"/>
  <c r="F84" i="35"/>
  <c r="G84" i="35"/>
  <c r="F88" i="35"/>
  <c r="G88" i="35"/>
  <c r="F92" i="35"/>
  <c r="G92" i="35"/>
  <c r="F79" i="35"/>
  <c r="G79" i="35"/>
  <c r="F83" i="35"/>
  <c r="G83" i="35"/>
  <c r="F87" i="35"/>
  <c r="G87" i="35"/>
  <c r="F91" i="35"/>
  <c r="G91" i="35"/>
  <c r="F78" i="35"/>
  <c r="G78" i="35"/>
  <c r="F82" i="35"/>
  <c r="G82" i="35"/>
  <c r="F86" i="35"/>
  <c r="G86" i="35"/>
  <c r="F90" i="35"/>
  <c r="G90" i="35"/>
  <c r="F77" i="35"/>
  <c r="G77" i="35"/>
  <c r="F81" i="35"/>
  <c r="G81" i="35"/>
  <c r="F85" i="35"/>
  <c r="G85" i="35"/>
  <c r="F89" i="35"/>
  <c r="G89" i="35"/>
  <c r="F80" i="34"/>
  <c r="G80" i="34"/>
  <c r="F84" i="34"/>
  <c r="G84" i="34"/>
  <c r="F88" i="34"/>
  <c r="G88" i="34"/>
  <c r="F92" i="34"/>
  <c r="G92" i="34"/>
  <c r="F79" i="34"/>
  <c r="G79" i="34"/>
  <c r="F83" i="34"/>
  <c r="G83" i="34"/>
  <c r="F87" i="34"/>
  <c r="G87" i="34"/>
  <c r="F91" i="34"/>
  <c r="G91" i="34"/>
  <c r="F78" i="34"/>
  <c r="G78" i="34"/>
  <c r="F82" i="34"/>
  <c r="G82" i="34"/>
  <c r="F86" i="34"/>
  <c r="G86" i="34"/>
  <c r="F90" i="34"/>
  <c r="G90" i="34"/>
  <c r="F77" i="34"/>
  <c r="G77" i="34"/>
  <c r="F81" i="34"/>
  <c r="G81" i="34"/>
  <c r="F85" i="34"/>
  <c r="G85" i="34"/>
  <c r="F89" i="34"/>
  <c r="G89" i="34"/>
  <c r="G80" i="33"/>
  <c r="F80" i="33"/>
  <c r="G84" i="33"/>
  <c r="F84" i="33"/>
  <c r="G88" i="33"/>
  <c r="F88" i="33"/>
  <c r="G92" i="33"/>
  <c r="F92" i="33"/>
  <c r="G79" i="33"/>
  <c r="F79" i="33"/>
  <c r="G83" i="33"/>
  <c r="F83" i="33"/>
  <c r="G87" i="33"/>
  <c r="F87" i="33"/>
  <c r="G91" i="33"/>
  <c r="F91" i="33"/>
  <c r="G78" i="33"/>
  <c r="F78" i="33"/>
  <c r="G82" i="33"/>
  <c r="F82" i="33"/>
  <c r="G86" i="33"/>
  <c r="F86" i="33"/>
  <c r="F90" i="33"/>
  <c r="G90" i="33"/>
  <c r="G77" i="33"/>
  <c r="F77" i="33"/>
  <c r="G81" i="33"/>
  <c r="F81" i="33"/>
  <c r="G85" i="33"/>
  <c r="F85" i="33"/>
  <c r="G89" i="33"/>
  <c r="F89" i="33"/>
  <c r="F80" i="32"/>
  <c r="G80" i="32"/>
  <c r="F84" i="32"/>
  <c r="G84" i="32"/>
  <c r="F88" i="32"/>
  <c r="G88" i="32"/>
  <c r="F92" i="32"/>
  <c r="G92" i="32"/>
  <c r="F79" i="32"/>
  <c r="G79" i="32"/>
  <c r="F83" i="32"/>
  <c r="G83" i="32"/>
  <c r="F87" i="32"/>
  <c r="G87" i="32"/>
  <c r="F91" i="32"/>
  <c r="G91" i="32"/>
  <c r="F78" i="32"/>
  <c r="G78" i="32"/>
  <c r="F82" i="32"/>
  <c r="G82" i="32"/>
  <c r="F86" i="32"/>
  <c r="G86" i="32"/>
  <c r="F90" i="32"/>
  <c r="G90" i="32"/>
  <c r="F77" i="32"/>
  <c r="G77" i="32"/>
  <c r="F81" i="32"/>
  <c r="G81" i="32"/>
  <c r="F85" i="32"/>
  <c r="G85" i="32"/>
  <c r="F89" i="32"/>
  <c r="G89" i="32"/>
  <c r="F80" i="31"/>
  <c r="G80" i="31"/>
  <c r="F84" i="31"/>
  <c r="G84" i="31"/>
  <c r="F88" i="31"/>
  <c r="G88" i="31"/>
  <c r="F92" i="31"/>
  <c r="G92" i="31"/>
  <c r="F79" i="31"/>
  <c r="G79" i="31"/>
  <c r="F83" i="31"/>
  <c r="G83" i="31"/>
  <c r="F87" i="31"/>
  <c r="G87" i="31"/>
  <c r="F91" i="31"/>
  <c r="G91" i="31"/>
  <c r="F78" i="31"/>
  <c r="G78" i="31"/>
  <c r="F82" i="31"/>
  <c r="G82" i="31"/>
  <c r="F86" i="31"/>
  <c r="G86" i="31"/>
  <c r="F90" i="31"/>
  <c r="G90" i="31"/>
  <c r="F77" i="31"/>
  <c r="G77" i="31"/>
  <c r="F81" i="31"/>
  <c r="G81" i="31"/>
  <c r="F85" i="31"/>
  <c r="G85" i="31"/>
  <c r="F89" i="31"/>
  <c r="G89" i="31"/>
  <c r="F106" i="30"/>
  <c r="G106" i="30"/>
  <c r="G98" i="30"/>
  <c r="F98" i="30"/>
  <c r="F78" i="30"/>
  <c r="G78" i="30"/>
  <c r="F81" i="30"/>
  <c r="G81" i="30"/>
  <c r="F92" i="30"/>
  <c r="G92" i="30"/>
  <c r="G104" i="30"/>
  <c r="F104" i="30"/>
  <c r="F77" i="30"/>
  <c r="G77" i="30"/>
  <c r="F80" i="30"/>
  <c r="G80" i="30"/>
  <c r="F85" i="30"/>
  <c r="G85" i="30"/>
  <c r="G102" i="30"/>
  <c r="F102" i="30"/>
  <c r="F84" i="30"/>
  <c r="G84" i="30"/>
  <c r="F89" i="30"/>
  <c r="G89" i="30"/>
  <c r="F100" i="30"/>
  <c r="G100" i="30"/>
  <c r="F88" i="30"/>
  <c r="G88" i="30"/>
  <c r="F107" i="30"/>
  <c r="F105" i="30"/>
  <c r="F103" i="30"/>
  <c r="F101" i="30"/>
  <c r="F99" i="30"/>
  <c r="G79" i="30"/>
  <c r="G83" i="30"/>
  <c r="G87" i="30"/>
  <c r="G91" i="30"/>
  <c r="F77" i="29"/>
  <c r="G77" i="29"/>
  <c r="F82" i="29"/>
  <c r="G82" i="29"/>
  <c r="F92" i="29"/>
  <c r="G92" i="29"/>
  <c r="F81" i="29"/>
  <c r="G81" i="29"/>
  <c r="F86" i="29"/>
  <c r="G86" i="29"/>
  <c r="F91" i="29"/>
  <c r="G91" i="29"/>
  <c r="F85" i="29"/>
  <c r="G85" i="29"/>
  <c r="F90" i="29"/>
  <c r="G90" i="29"/>
  <c r="F78" i="29"/>
  <c r="G78" i="29"/>
  <c r="F89" i="29"/>
  <c r="G89" i="29"/>
  <c r="G107" i="29"/>
  <c r="G103" i="29"/>
  <c r="G99" i="29"/>
  <c r="G80" i="29"/>
  <c r="G84" i="29"/>
  <c r="G88" i="29"/>
  <c r="F104" i="29"/>
  <c r="F100" i="29"/>
  <c r="F106" i="33"/>
  <c r="G106" i="33"/>
  <c r="F104" i="33"/>
  <c r="G104" i="33"/>
  <c r="F102" i="33"/>
  <c r="G102" i="33"/>
  <c r="F100" i="33"/>
  <c r="G100" i="33"/>
  <c r="F107" i="33"/>
  <c r="G107" i="33"/>
  <c r="F105" i="33"/>
  <c r="G105" i="33"/>
  <c r="F103" i="33"/>
  <c r="G103" i="33"/>
  <c r="F101" i="33"/>
  <c r="G101" i="33"/>
  <c r="F99" i="33"/>
  <c r="G99" i="33"/>
  <c r="G98" i="33"/>
  <c r="D98" i="13"/>
  <c r="C98" i="13" s="1"/>
  <c r="D99" i="13"/>
  <c r="C99" i="13" s="1"/>
  <c r="D100" i="13"/>
  <c r="C100" i="13" s="1"/>
  <c r="D101" i="13"/>
  <c r="C101" i="13" s="1"/>
  <c r="D102" i="13"/>
  <c r="C102" i="13" s="1"/>
  <c r="D103" i="13"/>
  <c r="C103" i="13" s="1"/>
  <c r="G103" i="13" s="1"/>
  <c r="D104" i="13"/>
  <c r="C104" i="13" s="1"/>
  <c r="D105" i="13"/>
  <c r="C105" i="13" s="1"/>
  <c r="D106" i="13"/>
  <c r="C106" i="13" s="1"/>
  <c r="Y114" i="45" s="1"/>
  <c r="D107" i="13"/>
  <c r="C107" i="13" s="1"/>
  <c r="D98" i="12"/>
  <c r="C98" i="12" s="1"/>
  <c r="X106" i="45" s="1"/>
  <c r="D99" i="12"/>
  <c r="C99" i="12" s="1"/>
  <c r="D100" i="12"/>
  <c r="C100" i="12" s="1"/>
  <c r="X108" i="45" s="1"/>
  <c r="D101" i="12"/>
  <c r="C101" i="12" s="1"/>
  <c r="D102" i="12"/>
  <c r="C102" i="12" s="1"/>
  <c r="X110" i="45" s="1"/>
  <c r="D103" i="12"/>
  <c r="C103" i="12" s="1"/>
  <c r="D104" i="12"/>
  <c r="C104" i="12" s="1"/>
  <c r="X112" i="45" s="1"/>
  <c r="D105" i="12"/>
  <c r="C105" i="12" s="1"/>
  <c r="D106" i="12"/>
  <c r="C106" i="12" s="1"/>
  <c r="X114" i="45" s="1"/>
  <c r="D107" i="12"/>
  <c r="C107" i="12" s="1"/>
  <c r="D95" i="11"/>
  <c r="C95" i="11" s="1"/>
  <c r="D96" i="11"/>
  <c r="C96" i="11" s="1"/>
  <c r="D97" i="11"/>
  <c r="C97" i="11" s="1"/>
  <c r="D98" i="11"/>
  <c r="C98" i="11" s="1"/>
  <c r="D99" i="11"/>
  <c r="C99" i="11" s="1"/>
  <c r="D100" i="11"/>
  <c r="C100" i="11" s="1"/>
  <c r="D101" i="11"/>
  <c r="C101" i="11" s="1"/>
  <c r="F101" i="11" s="1"/>
  <c r="D102" i="11"/>
  <c r="C102" i="11" s="1"/>
  <c r="D103" i="11"/>
  <c r="C103" i="11" s="1"/>
  <c r="D104" i="11"/>
  <c r="C104" i="11" s="1"/>
  <c r="D94" i="10"/>
  <c r="C94" i="10" s="1"/>
  <c r="D95" i="10"/>
  <c r="C95" i="10" s="1"/>
  <c r="D96" i="10"/>
  <c r="C96" i="10" s="1"/>
  <c r="D97" i="10"/>
  <c r="C97" i="10" s="1"/>
  <c r="U108" i="45" s="1"/>
  <c r="D98" i="10"/>
  <c r="C98" i="10" s="1"/>
  <c r="D99" i="10"/>
  <c r="C99" i="10" s="1"/>
  <c r="D100" i="10"/>
  <c r="C100" i="10" s="1"/>
  <c r="D101" i="10"/>
  <c r="C101" i="10" s="1"/>
  <c r="U112" i="45" s="1"/>
  <c r="D102" i="10"/>
  <c r="C102" i="10" s="1"/>
  <c r="D103" i="10"/>
  <c r="C103" i="10" s="1"/>
  <c r="D104" i="10"/>
  <c r="G104" i="10" s="1"/>
  <c r="D94" i="9"/>
  <c r="C94" i="9" s="1"/>
  <c r="D95" i="9"/>
  <c r="C95" i="9" s="1"/>
  <c r="D96" i="9"/>
  <c r="C96" i="9" s="1"/>
  <c r="T107" i="45" s="1"/>
  <c r="D97" i="9"/>
  <c r="C97" i="9" s="1"/>
  <c r="D98" i="9"/>
  <c r="C98" i="9" s="1"/>
  <c r="T109" i="45" s="1"/>
  <c r="D99" i="9"/>
  <c r="C99" i="9" s="1"/>
  <c r="D100" i="9"/>
  <c r="C100" i="9" s="1"/>
  <c r="D101" i="9"/>
  <c r="C101" i="9" s="1"/>
  <c r="D102" i="9"/>
  <c r="C102" i="9" s="1"/>
  <c r="T113" i="45" s="1"/>
  <c r="D103" i="9"/>
  <c r="C103" i="9" s="1"/>
  <c r="T114" i="45" s="1"/>
  <c r="D104" i="9"/>
  <c r="C104" i="9" s="1"/>
  <c r="D98" i="8"/>
  <c r="C98" i="8" s="1"/>
  <c r="R106" i="45" s="1"/>
  <c r="D99" i="8"/>
  <c r="C99" i="8" s="1"/>
  <c r="R107" i="45" s="1"/>
  <c r="D100" i="8"/>
  <c r="C100" i="8" s="1"/>
  <c r="D101" i="8"/>
  <c r="C101" i="8" s="1"/>
  <c r="D102" i="8"/>
  <c r="C102" i="8" s="1"/>
  <c r="R110" i="45" s="1"/>
  <c r="D103" i="8"/>
  <c r="C103" i="8" s="1"/>
  <c r="D104" i="8"/>
  <c r="C104" i="8" s="1"/>
  <c r="D105" i="8"/>
  <c r="C105" i="8" s="1"/>
  <c r="D106" i="8"/>
  <c r="C106" i="8" s="1"/>
  <c r="R114" i="45" s="1"/>
  <c r="D107" i="8"/>
  <c r="C107" i="8" s="1"/>
  <c r="R115" i="45" s="1"/>
  <c r="D92" i="7"/>
  <c r="C92" i="7" s="1"/>
  <c r="D93" i="7"/>
  <c r="C93" i="7" s="1"/>
  <c r="D94" i="7"/>
  <c r="C94" i="7" s="1"/>
  <c r="D95" i="7"/>
  <c r="C95" i="7" s="1"/>
  <c r="D96" i="7"/>
  <c r="C96" i="7" s="1"/>
  <c r="D97" i="7"/>
  <c r="C97" i="7" s="1"/>
  <c r="D98" i="7"/>
  <c r="C98" i="7" s="1"/>
  <c r="F98" i="7" s="1"/>
  <c r="D99" i="7"/>
  <c r="C99" i="7" s="1"/>
  <c r="D100" i="7"/>
  <c r="C100" i="7" s="1"/>
  <c r="D101" i="7"/>
  <c r="C101" i="7" s="1"/>
  <c r="D5" i="7"/>
  <c r="D98" i="6"/>
  <c r="C98" i="6" s="1"/>
  <c r="D99" i="6"/>
  <c r="C99" i="6" s="1"/>
  <c r="D100" i="6"/>
  <c r="C100" i="6" s="1"/>
  <c r="F100" i="6" s="1"/>
  <c r="D101" i="6"/>
  <c r="C101" i="6" s="1"/>
  <c r="D102" i="6"/>
  <c r="C102" i="6" s="1"/>
  <c r="D103" i="6"/>
  <c r="C103" i="6" s="1"/>
  <c r="D104" i="6"/>
  <c r="C104" i="6" s="1"/>
  <c r="D105" i="6"/>
  <c r="C105" i="6" s="1"/>
  <c r="D106" i="6"/>
  <c r="C106" i="6" s="1"/>
  <c r="D99" i="5"/>
  <c r="C99" i="5" s="1"/>
  <c r="D107" i="45" s="1"/>
  <c r="D100" i="5"/>
  <c r="C100" i="5" s="1"/>
  <c r="F100" i="5" s="1"/>
  <c r="D101" i="5"/>
  <c r="C101" i="5" s="1"/>
  <c r="D102" i="5"/>
  <c r="C102" i="5" s="1"/>
  <c r="D103" i="5"/>
  <c r="C103" i="5" s="1"/>
  <c r="D111" i="45" s="1"/>
  <c r="D104" i="5"/>
  <c r="C104" i="5" s="1"/>
  <c r="D105" i="5"/>
  <c r="C105" i="5" s="1"/>
  <c r="D106" i="5"/>
  <c r="C106" i="5" s="1"/>
  <c r="D107" i="5"/>
  <c r="C107" i="5" s="1"/>
  <c r="D115" i="45" s="1"/>
  <c r="D106" i="4"/>
  <c r="C106" i="4" s="1"/>
  <c r="D107" i="4"/>
  <c r="C107" i="4" s="1"/>
  <c r="D108" i="4"/>
  <c r="C108" i="4" s="1"/>
  <c r="D109" i="4"/>
  <c r="C109" i="4" s="1"/>
  <c r="D110" i="4"/>
  <c r="C110" i="4" s="1"/>
  <c r="D111" i="4"/>
  <c r="C111" i="4" s="1"/>
  <c r="D112" i="4"/>
  <c r="C112" i="4" s="1"/>
  <c r="D113" i="4"/>
  <c r="C113" i="4" s="1"/>
  <c r="D114" i="4"/>
  <c r="C114" i="4" s="1"/>
  <c r="D115" i="4"/>
  <c r="C115" i="4" s="1"/>
  <c r="F115" i="4" s="1"/>
  <c r="AS106" i="45"/>
  <c r="AS107" i="45"/>
  <c r="AS108" i="45"/>
  <c r="AS109" i="45"/>
  <c r="AS110" i="45"/>
  <c r="AS111" i="45"/>
  <c r="AS112" i="45"/>
  <c r="AS113" i="45"/>
  <c r="AS114" i="45"/>
  <c r="AS115" i="45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AQ52" i="21"/>
  <c r="AQ53" i="21"/>
  <c r="AQ54" i="21"/>
  <c r="AQ55" i="21"/>
  <c r="AQ56" i="21"/>
  <c r="AQ57" i="21"/>
  <c r="AQ58" i="21"/>
  <c r="AQ59" i="21"/>
  <c r="AQ60" i="21"/>
  <c r="AQ61" i="21"/>
  <c r="AQ62" i="21"/>
  <c r="AQ63" i="21"/>
  <c r="AQ64" i="21"/>
  <c r="AQ65" i="21"/>
  <c r="AQ66" i="21"/>
  <c r="AQ67" i="21"/>
  <c r="AQ68" i="21"/>
  <c r="AQ69" i="21"/>
  <c r="AQ70" i="21"/>
  <c r="AQ71" i="21"/>
  <c r="AQ72" i="21"/>
  <c r="AQ73" i="21"/>
  <c r="AQ74" i="21"/>
  <c r="AQ75" i="21"/>
  <c r="AQ76" i="21"/>
  <c r="AQ77" i="21"/>
  <c r="AQ78" i="21"/>
  <c r="AQ79" i="21"/>
  <c r="AQ80" i="21"/>
  <c r="AQ81" i="21"/>
  <c r="AQ82" i="21"/>
  <c r="AQ83" i="21"/>
  <c r="AQ84" i="21"/>
  <c r="AQ85" i="21"/>
  <c r="AQ86" i="21"/>
  <c r="AQ87" i="21"/>
  <c r="AQ88" i="21"/>
  <c r="AQ89" i="21"/>
  <c r="AQ90" i="21"/>
  <c r="AQ91" i="21"/>
  <c r="AQ92" i="21"/>
  <c r="AQ93" i="21"/>
  <c r="AQ94" i="21"/>
  <c r="AQ95" i="21"/>
  <c r="AQ96" i="21"/>
  <c r="AQ97" i="21"/>
  <c r="AQ98" i="21"/>
  <c r="AQ99" i="21"/>
  <c r="AQ100" i="21"/>
  <c r="AQ101" i="21"/>
  <c r="AQ102" i="21"/>
  <c r="AQ103" i="21"/>
  <c r="AQ104" i="21"/>
  <c r="AQ35" i="21"/>
  <c r="AP24" i="21"/>
  <c r="AP25" i="21"/>
  <c r="AP26" i="21"/>
  <c r="AP27" i="21"/>
  <c r="AP28" i="21"/>
  <c r="AP29" i="21"/>
  <c r="AP30" i="21"/>
  <c r="AP31" i="21"/>
  <c r="AP32" i="21"/>
  <c r="AP33" i="21"/>
  <c r="AP34" i="21"/>
  <c r="AP35" i="21"/>
  <c r="AP36" i="21"/>
  <c r="AP37" i="21"/>
  <c r="AP38" i="21"/>
  <c r="AP39" i="21"/>
  <c r="AP40" i="21"/>
  <c r="AP41" i="21"/>
  <c r="AP42" i="21"/>
  <c r="AP43" i="21"/>
  <c r="AP44" i="21"/>
  <c r="AP45" i="21"/>
  <c r="AP46" i="21"/>
  <c r="AP47" i="21"/>
  <c r="AP48" i="21"/>
  <c r="AP49" i="21"/>
  <c r="AP50" i="21"/>
  <c r="AP51" i="21"/>
  <c r="AP52" i="21"/>
  <c r="AP53" i="21"/>
  <c r="AP54" i="21"/>
  <c r="AP55" i="21"/>
  <c r="AP56" i="21"/>
  <c r="AP57" i="21"/>
  <c r="AP58" i="21"/>
  <c r="AP59" i="21"/>
  <c r="AP60" i="21"/>
  <c r="AP61" i="21"/>
  <c r="AP62" i="21"/>
  <c r="AP63" i="21"/>
  <c r="AP64" i="21"/>
  <c r="AP65" i="21"/>
  <c r="AP66" i="21"/>
  <c r="AP67" i="21"/>
  <c r="AP68" i="21"/>
  <c r="AP69" i="21"/>
  <c r="AP70" i="21"/>
  <c r="AP71" i="21"/>
  <c r="AP72" i="21"/>
  <c r="AP73" i="21"/>
  <c r="AP74" i="21"/>
  <c r="AP75" i="21"/>
  <c r="AP76" i="21"/>
  <c r="AP77" i="21"/>
  <c r="AP78" i="21"/>
  <c r="AP79" i="21"/>
  <c r="AP80" i="21"/>
  <c r="AP81" i="21"/>
  <c r="AP82" i="21"/>
  <c r="AP83" i="21"/>
  <c r="AP84" i="21"/>
  <c r="AP85" i="21"/>
  <c r="AP86" i="21"/>
  <c r="AP87" i="21"/>
  <c r="AP88" i="21"/>
  <c r="AP89" i="21"/>
  <c r="AP90" i="21"/>
  <c r="AP91" i="21"/>
  <c r="AP92" i="21"/>
  <c r="AP93" i="21"/>
  <c r="AP94" i="21"/>
  <c r="AP95" i="21"/>
  <c r="AP96" i="21"/>
  <c r="AP97" i="21"/>
  <c r="AP98" i="21"/>
  <c r="AP99" i="21"/>
  <c r="AP100" i="21"/>
  <c r="AP101" i="21"/>
  <c r="AP102" i="21"/>
  <c r="AP103" i="21"/>
  <c r="AP104" i="21"/>
  <c r="AP23" i="21"/>
  <c r="AI91" i="21"/>
  <c r="AI92" i="21"/>
  <c r="AI93" i="21"/>
  <c r="AI94" i="21"/>
  <c r="AI95" i="21"/>
  <c r="AI96" i="21"/>
  <c r="AI97" i="21"/>
  <c r="AI98" i="21"/>
  <c r="AI99" i="21"/>
  <c r="AI100" i="21"/>
  <c r="AI101" i="21"/>
  <c r="AI102" i="21"/>
  <c r="AI103" i="21"/>
  <c r="AI104" i="21"/>
  <c r="AI90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H70" i="21"/>
  <c r="AH78" i="21"/>
  <c r="AH79" i="21"/>
  <c r="AH80" i="21"/>
  <c r="AH81" i="21"/>
  <c r="AH82" i="21"/>
  <c r="AH83" i="21"/>
  <c r="AH84" i="21"/>
  <c r="AH85" i="21"/>
  <c r="AH86" i="21"/>
  <c r="AH87" i="21"/>
  <c r="AH88" i="21"/>
  <c r="AH89" i="21"/>
  <c r="AH90" i="21"/>
  <c r="AH91" i="21"/>
  <c r="AH92" i="21"/>
  <c r="AH93" i="21"/>
  <c r="AH94" i="21"/>
  <c r="AH95" i="21"/>
  <c r="AH96" i="21"/>
  <c r="AH97" i="21"/>
  <c r="AH98" i="21"/>
  <c r="AH99" i="21"/>
  <c r="AH100" i="21"/>
  <c r="AH101" i="21"/>
  <c r="AH102" i="21"/>
  <c r="AH103" i="21"/>
  <c r="AH104" i="21"/>
  <c r="AH3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G36" i="21"/>
  <c r="AG37" i="21"/>
  <c r="AG38" i="21"/>
  <c r="AG39" i="21"/>
  <c r="AG40" i="21"/>
  <c r="AG41" i="21"/>
  <c r="AG42" i="21"/>
  <c r="AG43" i="21"/>
  <c r="AG44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G70" i="21"/>
  <c r="AG71" i="21"/>
  <c r="AG72" i="21"/>
  <c r="AG73" i="21"/>
  <c r="AG74" i="21"/>
  <c r="AG75" i="21"/>
  <c r="AG76" i="21"/>
  <c r="AG77" i="21"/>
  <c r="AG78" i="21"/>
  <c r="AG79" i="21"/>
  <c r="AG80" i="21"/>
  <c r="AG81" i="21"/>
  <c r="AG82" i="21"/>
  <c r="AG83" i="21"/>
  <c r="AG84" i="21"/>
  <c r="AG85" i="21"/>
  <c r="AG86" i="21"/>
  <c r="AG87" i="21"/>
  <c r="AG88" i="21"/>
  <c r="AG89" i="21"/>
  <c r="AG90" i="21"/>
  <c r="AG91" i="21"/>
  <c r="AG92" i="21"/>
  <c r="AG93" i="21"/>
  <c r="AG94" i="21"/>
  <c r="AG95" i="21"/>
  <c r="AG96" i="21"/>
  <c r="AG97" i="21"/>
  <c r="AG98" i="21"/>
  <c r="AG99" i="21"/>
  <c r="AG100" i="21"/>
  <c r="AG101" i="21"/>
  <c r="AG102" i="21"/>
  <c r="AG103" i="21"/>
  <c r="AG104" i="21"/>
  <c r="AF16" i="21"/>
  <c r="E95" i="21"/>
  <c r="E96" i="21"/>
  <c r="E97" i="21"/>
  <c r="E98" i="21"/>
  <c r="AE4" i="21"/>
  <c r="AE5" i="21"/>
  <c r="AE6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AE69" i="21"/>
  <c r="AE70" i="21"/>
  <c r="AE71" i="21"/>
  <c r="AE72" i="21"/>
  <c r="AE73" i="21"/>
  <c r="AE74" i="21"/>
  <c r="AE75" i="21"/>
  <c r="AE76" i="21"/>
  <c r="AE77" i="21"/>
  <c r="AE78" i="21"/>
  <c r="AE79" i="21"/>
  <c r="AE80" i="21"/>
  <c r="AE81" i="21"/>
  <c r="AE82" i="21"/>
  <c r="AE83" i="21"/>
  <c r="AE84" i="21"/>
  <c r="AE85" i="21"/>
  <c r="AE86" i="21"/>
  <c r="AE87" i="21"/>
  <c r="AE88" i="21"/>
  <c r="AE89" i="21"/>
  <c r="AE90" i="21"/>
  <c r="AE91" i="21"/>
  <c r="AE92" i="21"/>
  <c r="AE93" i="21"/>
  <c r="AE94" i="21"/>
  <c r="AE95" i="21"/>
  <c r="AE96" i="21"/>
  <c r="AE97" i="21"/>
  <c r="AE98" i="21"/>
  <c r="AE99" i="21"/>
  <c r="AE100" i="21"/>
  <c r="AE101" i="21"/>
  <c r="AE102" i="21"/>
  <c r="AE103" i="21"/>
  <c r="AE104" i="21"/>
  <c r="AE3" i="21"/>
  <c r="AD4" i="21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3" i="21"/>
  <c r="D64" i="41"/>
  <c r="C64" i="41" s="1"/>
  <c r="D65" i="41"/>
  <c r="C65" i="41" s="1"/>
  <c r="AN82" i="45" s="1"/>
  <c r="D66" i="41"/>
  <c r="C66" i="41" s="1"/>
  <c r="AN83" i="45" s="1"/>
  <c r="D67" i="41"/>
  <c r="C67" i="41" s="1"/>
  <c r="AN84" i="45" s="1"/>
  <c r="D68" i="41"/>
  <c r="C68" i="41" s="1"/>
  <c r="AN85" i="45" s="1"/>
  <c r="D69" i="41"/>
  <c r="C69" i="41" s="1"/>
  <c r="AN86" i="45" s="1"/>
  <c r="D70" i="41"/>
  <c r="C70" i="41" s="1"/>
  <c r="AN87" i="45" s="1"/>
  <c r="D71" i="41"/>
  <c r="C71" i="41" s="1"/>
  <c r="AN88" i="45" s="1"/>
  <c r="D72" i="41"/>
  <c r="C72" i="41" s="1"/>
  <c r="AN89" i="45" s="1"/>
  <c r="D73" i="41"/>
  <c r="C73" i="41" s="1"/>
  <c r="AN90" i="45" s="1"/>
  <c r="D74" i="41"/>
  <c r="C74" i="41" s="1"/>
  <c r="AN91" i="45" s="1"/>
  <c r="D75" i="41"/>
  <c r="C75" i="41" s="1"/>
  <c r="AN92" i="45" s="1"/>
  <c r="D76" i="41"/>
  <c r="C76" i="41" s="1"/>
  <c r="AN93" i="45" s="1"/>
  <c r="D77" i="41"/>
  <c r="C77" i="41" s="1"/>
  <c r="AN94" i="45" s="1"/>
  <c r="D78" i="41"/>
  <c r="C78" i="41" s="1"/>
  <c r="AN95" i="45" s="1"/>
  <c r="D79" i="41"/>
  <c r="C79" i="41" s="1"/>
  <c r="D80" i="41"/>
  <c r="C80" i="41" s="1"/>
  <c r="AN97" i="45" s="1"/>
  <c r="D81" i="41"/>
  <c r="C81" i="41" s="1"/>
  <c r="D82" i="41"/>
  <c r="C82" i="41" s="1"/>
  <c r="AN99" i="45" s="1"/>
  <c r="D83" i="41"/>
  <c r="C83" i="41" s="1"/>
  <c r="D84" i="41"/>
  <c r="C84" i="41" s="1"/>
  <c r="AN101" i="45" s="1"/>
  <c r="D85" i="41"/>
  <c r="C85" i="41" s="1"/>
  <c r="D86" i="41"/>
  <c r="C86" i="41" s="1"/>
  <c r="AN103" i="45" s="1"/>
  <c r="D87" i="41"/>
  <c r="C87" i="41" s="1"/>
  <c r="D64" i="39"/>
  <c r="C64" i="39" s="1"/>
  <c r="AS4" i="45"/>
  <c r="AS5" i="45"/>
  <c r="AS6" i="45"/>
  <c r="AS7" i="45"/>
  <c r="AS8" i="45"/>
  <c r="AS9" i="45"/>
  <c r="AS10" i="45"/>
  <c r="AS11" i="45"/>
  <c r="AS12" i="45"/>
  <c r="AS13" i="45"/>
  <c r="AS14" i="45"/>
  <c r="AS15" i="45"/>
  <c r="AS16" i="45"/>
  <c r="AS17" i="45"/>
  <c r="AS18" i="45"/>
  <c r="AS19" i="45"/>
  <c r="AS20" i="45"/>
  <c r="AS21" i="45"/>
  <c r="AS22" i="45"/>
  <c r="AS23" i="45"/>
  <c r="AS24" i="45"/>
  <c r="AS25" i="45"/>
  <c r="AS26" i="45"/>
  <c r="AS27" i="45"/>
  <c r="AS28" i="45"/>
  <c r="AS29" i="45"/>
  <c r="AS30" i="45"/>
  <c r="AS31" i="45"/>
  <c r="AS32" i="45"/>
  <c r="AS33" i="45"/>
  <c r="AS34" i="45"/>
  <c r="AS35" i="45"/>
  <c r="AS36" i="45"/>
  <c r="AS37" i="45"/>
  <c r="AS38" i="45"/>
  <c r="AS39" i="45"/>
  <c r="AS40" i="45"/>
  <c r="AS41" i="45"/>
  <c r="AS42" i="45"/>
  <c r="AS43" i="45"/>
  <c r="AS44" i="45"/>
  <c r="AS45" i="45"/>
  <c r="AS46" i="45"/>
  <c r="AS47" i="45"/>
  <c r="AS48" i="45"/>
  <c r="AS49" i="45"/>
  <c r="AS50" i="45"/>
  <c r="AS51" i="45"/>
  <c r="AS52" i="45"/>
  <c r="AS53" i="45"/>
  <c r="AS54" i="45"/>
  <c r="AS55" i="45"/>
  <c r="AS56" i="45"/>
  <c r="AS57" i="45"/>
  <c r="AS58" i="45"/>
  <c r="AS59" i="45"/>
  <c r="AS60" i="45"/>
  <c r="AS61" i="45"/>
  <c r="AS62" i="45"/>
  <c r="AS63" i="45"/>
  <c r="AS64" i="45"/>
  <c r="AS65" i="45"/>
  <c r="AS66" i="45"/>
  <c r="AS67" i="45"/>
  <c r="AS68" i="45"/>
  <c r="AS69" i="45"/>
  <c r="AS70" i="45"/>
  <c r="AS71" i="45"/>
  <c r="AS72" i="45"/>
  <c r="AS73" i="45"/>
  <c r="AS74" i="45"/>
  <c r="AS75" i="45"/>
  <c r="AS76" i="45"/>
  <c r="AS77" i="45"/>
  <c r="AS78" i="45"/>
  <c r="AS79" i="45"/>
  <c r="AS80" i="45"/>
  <c r="AS81" i="45"/>
  <c r="AS82" i="45"/>
  <c r="AS83" i="45"/>
  <c r="AS84" i="45"/>
  <c r="AS85" i="45"/>
  <c r="AS86" i="45"/>
  <c r="AS87" i="45"/>
  <c r="AS88" i="45"/>
  <c r="AS89" i="45"/>
  <c r="AS90" i="45"/>
  <c r="AS91" i="45"/>
  <c r="AS92" i="45"/>
  <c r="AS93" i="45"/>
  <c r="AS94" i="45"/>
  <c r="AS95" i="45"/>
  <c r="AS96" i="45"/>
  <c r="AS97" i="45"/>
  <c r="AS98" i="45"/>
  <c r="AS99" i="45"/>
  <c r="AS100" i="45"/>
  <c r="AS101" i="45"/>
  <c r="AS102" i="45"/>
  <c r="AS103" i="45"/>
  <c r="AS104" i="45"/>
  <c r="AS105" i="45"/>
  <c r="AS3" i="45"/>
  <c r="D98" i="5"/>
  <c r="C98" i="5" s="1"/>
  <c r="D106" i="45" s="1"/>
  <c r="D4" i="44"/>
  <c r="C4" i="44" s="1"/>
  <c r="AQ37" i="45" s="1"/>
  <c r="D5" i="44"/>
  <c r="C5" i="44" s="1"/>
  <c r="AQ38" i="45" s="1"/>
  <c r="D6" i="44"/>
  <c r="C6" i="44" s="1"/>
  <c r="AQ39" i="45" s="1"/>
  <c r="D7" i="44"/>
  <c r="C7" i="44" s="1"/>
  <c r="AQ40" i="45" s="1"/>
  <c r="D8" i="44"/>
  <c r="C8" i="44" s="1"/>
  <c r="AQ41" i="45" s="1"/>
  <c r="D9" i="44"/>
  <c r="C9" i="44" s="1"/>
  <c r="AQ42" i="45" s="1"/>
  <c r="D10" i="44"/>
  <c r="C10" i="44" s="1"/>
  <c r="AQ43" i="45" s="1"/>
  <c r="D11" i="44"/>
  <c r="C11" i="44" s="1"/>
  <c r="AQ44" i="45" s="1"/>
  <c r="D12" i="44"/>
  <c r="C12" i="44" s="1"/>
  <c r="AQ45" i="45" s="1"/>
  <c r="D13" i="44"/>
  <c r="C13" i="44" s="1"/>
  <c r="AQ46" i="45" s="1"/>
  <c r="D14" i="44"/>
  <c r="C14" i="44" s="1"/>
  <c r="AQ47" i="45" s="1"/>
  <c r="D15" i="44"/>
  <c r="C15" i="44" s="1"/>
  <c r="AQ48" i="45" s="1"/>
  <c r="D16" i="44"/>
  <c r="C16" i="44" s="1"/>
  <c r="AQ49" i="45" s="1"/>
  <c r="D17" i="44"/>
  <c r="C17" i="44" s="1"/>
  <c r="AQ50" i="45" s="1"/>
  <c r="D18" i="44"/>
  <c r="C18" i="44" s="1"/>
  <c r="AQ51" i="45" s="1"/>
  <c r="D19" i="44"/>
  <c r="C19" i="44" s="1"/>
  <c r="AQ52" i="45" s="1"/>
  <c r="D20" i="44"/>
  <c r="C20" i="44" s="1"/>
  <c r="AQ53" i="45" s="1"/>
  <c r="D21" i="44"/>
  <c r="C21" i="44" s="1"/>
  <c r="AQ54" i="45" s="1"/>
  <c r="D22" i="44"/>
  <c r="C22" i="44" s="1"/>
  <c r="AQ55" i="45" s="1"/>
  <c r="D23" i="44"/>
  <c r="C23" i="44" s="1"/>
  <c r="AQ56" i="45" s="1"/>
  <c r="D24" i="44"/>
  <c r="C24" i="44" s="1"/>
  <c r="AQ57" i="45" s="1"/>
  <c r="D25" i="44"/>
  <c r="C25" i="44" s="1"/>
  <c r="AQ58" i="45" s="1"/>
  <c r="D26" i="44"/>
  <c r="C26" i="44" s="1"/>
  <c r="AQ59" i="45" s="1"/>
  <c r="D27" i="44"/>
  <c r="C27" i="44" s="1"/>
  <c r="AQ60" i="45" s="1"/>
  <c r="D28" i="44"/>
  <c r="C28" i="44" s="1"/>
  <c r="AQ61" i="45" s="1"/>
  <c r="D29" i="44"/>
  <c r="C29" i="44" s="1"/>
  <c r="AQ62" i="45" s="1"/>
  <c r="D30" i="44"/>
  <c r="C30" i="44" s="1"/>
  <c r="AQ63" i="45" s="1"/>
  <c r="D31" i="44"/>
  <c r="C31" i="44" s="1"/>
  <c r="AQ64" i="45" s="1"/>
  <c r="D32" i="44"/>
  <c r="C32" i="44" s="1"/>
  <c r="AQ65" i="45" s="1"/>
  <c r="D33" i="44"/>
  <c r="C33" i="44" s="1"/>
  <c r="AQ66" i="45" s="1"/>
  <c r="D34" i="44"/>
  <c r="C34" i="44" s="1"/>
  <c r="AQ67" i="45" s="1"/>
  <c r="D35" i="44"/>
  <c r="C35" i="44" s="1"/>
  <c r="AQ68" i="45" s="1"/>
  <c r="D44" i="44"/>
  <c r="C44" i="44" s="1"/>
  <c r="AQ77" i="45" s="1"/>
  <c r="D45" i="44"/>
  <c r="C45" i="44" s="1"/>
  <c r="AQ78" i="45" s="1"/>
  <c r="D46" i="44"/>
  <c r="C46" i="44" s="1"/>
  <c r="AQ79" i="45" s="1"/>
  <c r="D47" i="44"/>
  <c r="C47" i="44" s="1"/>
  <c r="AQ80" i="45" s="1"/>
  <c r="D48" i="44"/>
  <c r="C48" i="44" s="1"/>
  <c r="AQ81" i="45" s="1"/>
  <c r="D49" i="44"/>
  <c r="C49" i="44" s="1"/>
  <c r="AQ82" i="45" s="1"/>
  <c r="D50" i="44"/>
  <c r="C50" i="44" s="1"/>
  <c r="AQ83" i="45" s="1"/>
  <c r="D51" i="44"/>
  <c r="C51" i="44" s="1"/>
  <c r="AQ84" i="45" s="1"/>
  <c r="D52" i="44"/>
  <c r="C52" i="44" s="1"/>
  <c r="AQ85" i="45" s="1"/>
  <c r="D53" i="44"/>
  <c r="C53" i="44" s="1"/>
  <c r="AQ86" i="45" s="1"/>
  <c r="D54" i="44"/>
  <c r="C54" i="44" s="1"/>
  <c r="AQ87" i="45" s="1"/>
  <c r="D55" i="44"/>
  <c r="C55" i="44" s="1"/>
  <c r="AQ88" i="45" s="1"/>
  <c r="D56" i="44"/>
  <c r="C56" i="44" s="1"/>
  <c r="AQ89" i="45" s="1"/>
  <c r="D57" i="44"/>
  <c r="C57" i="44" s="1"/>
  <c r="AQ90" i="45" s="1"/>
  <c r="D58" i="44"/>
  <c r="C58" i="44" s="1"/>
  <c r="AQ91" i="45" s="1"/>
  <c r="D59" i="44"/>
  <c r="C59" i="44" s="1"/>
  <c r="AQ92" i="45" s="1"/>
  <c r="D60" i="44"/>
  <c r="C60" i="44" s="1"/>
  <c r="AQ93" i="45" s="1"/>
  <c r="D61" i="44"/>
  <c r="C61" i="44" s="1"/>
  <c r="AQ94" i="45" s="1"/>
  <c r="D62" i="44"/>
  <c r="C62" i="44" s="1"/>
  <c r="AQ95" i="45" s="1"/>
  <c r="D63" i="44"/>
  <c r="C63" i="44" s="1"/>
  <c r="AQ96" i="45" s="1"/>
  <c r="D64" i="44"/>
  <c r="C64" i="44" s="1"/>
  <c r="AQ97" i="45" s="1"/>
  <c r="D65" i="44"/>
  <c r="C65" i="44" s="1"/>
  <c r="AQ98" i="45" s="1"/>
  <c r="D66" i="44"/>
  <c r="C66" i="44" s="1"/>
  <c r="AQ99" i="45" s="1"/>
  <c r="D67" i="44"/>
  <c r="C67" i="44" s="1"/>
  <c r="AQ100" i="45" s="1"/>
  <c r="D68" i="44"/>
  <c r="C68" i="44" s="1"/>
  <c r="AQ101" i="45" s="1"/>
  <c r="D69" i="44"/>
  <c r="C69" i="44" s="1"/>
  <c r="AQ102" i="45" s="1"/>
  <c r="D70" i="44"/>
  <c r="C70" i="44" s="1"/>
  <c r="AQ103" i="45" s="1"/>
  <c r="D71" i="44"/>
  <c r="C71" i="44" s="1"/>
  <c r="AQ104" i="45" s="1"/>
  <c r="D72" i="44"/>
  <c r="C72" i="44" s="1"/>
  <c r="AQ105" i="45" s="1"/>
  <c r="D3" i="44"/>
  <c r="C3" i="44" s="1"/>
  <c r="AQ36" i="45" s="1"/>
  <c r="D4" i="43"/>
  <c r="C4" i="43" s="1"/>
  <c r="AE5" i="45" s="1"/>
  <c r="D5" i="43"/>
  <c r="C5" i="43" s="1"/>
  <c r="D6" i="43"/>
  <c r="C6" i="43" s="1"/>
  <c r="AE7" i="45" s="1"/>
  <c r="D7" i="43"/>
  <c r="C7" i="43" s="1"/>
  <c r="D8" i="43"/>
  <c r="C8" i="43" s="1"/>
  <c r="AE9" i="45" s="1"/>
  <c r="D9" i="43"/>
  <c r="C9" i="43" s="1"/>
  <c r="D10" i="43"/>
  <c r="C10" i="43" s="1"/>
  <c r="AE11" i="45" s="1"/>
  <c r="D11" i="43"/>
  <c r="C11" i="43" s="1"/>
  <c r="D12" i="43"/>
  <c r="C12" i="43" s="1"/>
  <c r="AE13" i="45" s="1"/>
  <c r="D13" i="43"/>
  <c r="C13" i="43" s="1"/>
  <c r="D14" i="43"/>
  <c r="C14" i="43" s="1"/>
  <c r="AE15" i="45" s="1"/>
  <c r="D15" i="43"/>
  <c r="C15" i="43" s="1"/>
  <c r="D16" i="43"/>
  <c r="C16" i="43" s="1"/>
  <c r="AE17" i="45" s="1"/>
  <c r="D17" i="43"/>
  <c r="C17" i="43" s="1"/>
  <c r="D18" i="43"/>
  <c r="C18" i="43" s="1"/>
  <c r="AE19" i="45" s="1"/>
  <c r="D19" i="43"/>
  <c r="C19" i="43" s="1"/>
  <c r="D20" i="43"/>
  <c r="C20" i="43" s="1"/>
  <c r="AE21" i="45" s="1"/>
  <c r="D21" i="43"/>
  <c r="C21" i="43" s="1"/>
  <c r="D22" i="43"/>
  <c r="C22" i="43" s="1"/>
  <c r="AE23" i="45" s="1"/>
  <c r="D23" i="43"/>
  <c r="C23" i="43" s="1"/>
  <c r="D24" i="43"/>
  <c r="C24" i="43" s="1"/>
  <c r="AE25" i="45" s="1"/>
  <c r="D25" i="43"/>
  <c r="C25" i="43" s="1"/>
  <c r="D26" i="43"/>
  <c r="C26" i="43" s="1"/>
  <c r="AE27" i="45" s="1"/>
  <c r="D27" i="43"/>
  <c r="C27" i="43" s="1"/>
  <c r="D28" i="43"/>
  <c r="C28" i="43" s="1"/>
  <c r="AE29" i="45" s="1"/>
  <c r="D29" i="43"/>
  <c r="C29" i="43" s="1"/>
  <c r="D30" i="43"/>
  <c r="C30" i="43" s="1"/>
  <c r="AE31" i="45" s="1"/>
  <c r="D31" i="43"/>
  <c r="C31" i="43" s="1"/>
  <c r="D32" i="43"/>
  <c r="C32" i="43" s="1"/>
  <c r="AE33" i="45" s="1"/>
  <c r="D33" i="43"/>
  <c r="C33" i="43" s="1"/>
  <c r="D34" i="43"/>
  <c r="C34" i="43" s="1"/>
  <c r="AE35" i="45" s="1"/>
  <c r="D35" i="43"/>
  <c r="C35" i="43" s="1"/>
  <c r="D36" i="43"/>
  <c r="C36" i="43" s="1"/>
  <c r="AE37" i="45" s="1"/>
  <c r="D37" i="43"/>
  <c r="C37" i="43" s="1"/>
  <c r="D38" i="43"/>
  <c r="C38" i="43" s="1"/>
  <c r="AE39" i="45" s="1"/>
  <c r="D39" i="43"/>
  <c r="C39" i="43" s="1"/>
  <c r="D40" i="43"/>
  <c r="C40" i="43" s="1"/>
  <c r="AE41" i="45" s="1"/>
  <c r="D41" i="43"/>
  <c r="C41" i="43" s="1"/>
  <c r="D42" i="43"/>
  <c r="C42" i="43" s="1"/>
  <c r="AE43" i="45" s="1"/>
  <c r="D43" i="43"/>
  <c r="C43" i="43" s="1"/>
  <c r="D44" i="43"/>
  <c r="C44" i="43" s="1"/>
  <c r="AE45" i="45" s="1"/>
  <c r="D45" i="43"/>
  <c r="C45" i="43" s="1"/>
  <c r="D46" i="43"/>
  <c r="C46" i="43" s="1"/>
  <c r="AE47" i="45" s="1"/>
  <c r="D47" i="43"/>
  <c r="C47" i="43" s="1"/>
  <c r="D48" i="43"/>
  <c r="C48" i="43" s="1"/>
  <c r="AE49" i="45" s="1"/>
  <c r="D49" i="43"/>
  <c r="C49" i="43" s="1"/>
  <c r="D50" i="43"/>
  <c r="C50" i="43" s="1"/>
  <c r="AE51" i="45" s="1"/>
  <c r="D51" i="43"/>
  <c r="C51" i="43" s="1"/>
  <c r="D52" i="43"/>
  <c r="C52" i="43" s="1"/>
  <c r="AE53" i="45" s="1"/>
  <c r="D53" i="43"/>
  <c r="C53" i="43" s="1"/>
  <c r="D54" i="43"/>
  <c r="C54" i="43" s="1"/>
  <c r="AE55" i="45" s="1"/>
  <c r="D55" i="43"/>
  <c r="C55" i="43" s="1"/>
  <c r="D56" i="43"/>
  <c r="C56" i="43" s="1"/>
  <c r="AE57" i="45" s="1"/>
  <c r="D57" i="43"/>
  <c r="C57" i="43" s="1"/>
  <c r="D58" i="43"/>
  <c r="C58" i="43" s="1"/>
  <c r="AE59" i="45" s="1"/>
  <c r="D59" i="43"/>
  <c r="C59" i="43" s="1"/>
  <c r="D60" i="43"/>
  <c r="C60" i="43" s="1"/>
  <c r="AE61" i="45" s="1"/>
  <c r="D61" i="43"/>
  <c r="C61" i="43" s="1"/>
  <c r="D62" i="43"/>
  <c r="C62" i="43" s="1"/>
  <c r="AE63" i="45" s="1"/>
  <c r="D63" i="43"/>
  <c r="C63" i="43" s="1"/>
  <c r="D64" i="43"/>
  <c r="C64" i="43" s="1"/>
  <c r="AE65" i="45" s="1"/>
  <c r="D65" i="43"/>
  <c r="C65" i="43" s="1"/>
  <c r="D66" i="43"/>
  <c r="C66" i="43" s="1"/>
  <c r="AE67" i="45" s="1"/>
  <c r="D67" i="43"/>
  <c r="C67" i="43" s="1"/>
  <c r="D68" i="43"/>
  <c r="C68" i="43" s="1"/>
  <c r="AE69" i="45" s="1"/>
  <c r="D69" i="43"/>
  <c r="C69" i="43" s="1"/>
  <c r="D70" i="43"/>
  <c r="C70" i="43" s="1"/>
  <c r="AE71" i="45" s="1"/>
  <c r="D77" i="43"/>
  <c r="C77" i="43" s="1"/>
  <c r="D78" i="43"/>
  <c r="C78" i="43" s="1"/>
  <c r="AE79" i="45" s="1"/>
  <c r="D79" i="43"/>
  <c r="C79" i="43" s="1"/>
  <c r="D80" i="43"/>
  <c r="C80" i="43" s="1"/>
  <c r="AE81" i="45" s="1"/>
  <c r="D81" i="43"/>
  <c r="C81" i="43" s="1"/>
  <c r="D82" i="43"/>
  <c r="C82" i="43" s="1"/>
  <c r="AE83" i="45" s="1"/>
  <c r="D83" i="43"/>
  <c r="C83" i="43" s="1"/>
  <c r="D84" i="43"/>
  <c r="C84" i="43" s="1"/>
  <c r="AE85" i="45" s="1"/>
  <c r="D85" i="43"/>
  <c r="C85" i="43" s="1"/>
  <c r="D86" i="43"/>
  <c r="C86" i="43" s="1"/>
  <c r="AE87" i="45" s="1"/>
  <c r="D87" i="43"/>
  <c r="C87" i="43" s="1"/>
  <c r="D88" i="43"/>
  <c r="C88" i="43" s="1"/>
  <c r="AE89" i="45" s="1"/>
  <c r="D89" i="43"/>
  <c r="C89" i="43" s="1"/>
  <c r="D90" i="43"/>
  <c r="C90" i="43" s="1"/>
  <c r="AE91" i="45" s="1"/>
  <c r="D91" i="43"/>
  <c r="C91" i="43" s="1"/>
  <c r="D92" i="43"/>
  <c r="C92" i="43" s="1"/>
  <c r="AE93" i="45" s="1"/>
  <c r="D93" i="43"/>
  <c r="C93" i="43" s="1"/>
  <c r="D94" i="43"/>
  <c r="C94" i="43" s="1"/>
  <c r="AE95" i="45" s="1"/>
  <c r="D95" i="43"/>
  <c r="C95" i="43" s="1"/>
  <c r="D96" i="43"/>
  <c r="C96" i="43" s="1"/>
  <c r="AE97" i="45" s="1"/>
  <c r="D97" i="43"/>
  <c r="C97" i="43" s="1"/>
  <c r="D98" i="43"/>
  <c r="C98" i="43" s="1"/>
  <c r="AE99" i="45" s="1"/>
  <c r="D99" i="43"/>
  <c r="C99" i="43" s="1"/>
  <c r="AE100" i="45" s="1"/>
  <c r="D100" i="43"/>
  <c r="C100" i="43" s="1"/>
  <c r="AE101" i="45" s="1"/>
  <c r="D101" i="43"/>
  <c r="C101" i="43" s="1"/>
  <c r="AE102" i="45" s="1"/>
  <c r="D102" i="43"/>
  <c r="C102" i="43" s="1"/>
  <c r="AE103" i="45" s="1"/>
  <c r="D103" i="43"/>
  <c r="C103" i="43" s="1"/>
  <c r="AE104" i="45" s="1"/>
  <c r="D104" i="43"/>
  <c r="C104" i="43" s="1"/>
  <c r="AE105" i="45" s="1"/>
  <c r="D3" i="43"/>
  <c r="C3" i="43" s="1"/>
  <c r="AE4" i="45" s="1"/>
  <c r="D4" i="42"/>
  <c r="C4" i="42" s="1"/>
  <c r="D5" i="42"/>
  <c r="C5" i="42" s="1"/>
  <c r="AD6" i="45" s="1"/>
  <c r="D6" i="42"/>
  <c r="C6" i="42" s="1"/>
  <c r="D7" i="42"/>
  <c r="C7" i="42" s="1"/>
  <c r="AD8" i="45" s="1"/>
  <c r="D8" i="42"/>
  <c r="C8" i="42" s="1"/>
  <c r="D9" i="42"/>
  <c r="C9" i="42" s="1"/>
  <c r="AD10" i="45" s="1"/>
  <c r="D10" i="42"/>
  <c r="C10" i="42" s="1"/>
  <c r="D11" i="42"/>
  <c r="C11" i="42" s="1"/>
  <c r="AD12" i="45" s="1"/>
  <c r="D12" i="42"/>
  <c r="C12" i="42" s="1"/>
  <c r="D13" i="42"/>
  <c r="C13" i="42" s="1"/>
  <c r="AD14" i="45" s="1"/>
  <c r="D14" i="42"/>
  <c r="C14" i="42" s="1"/>
  <c r="D15" i="42"/>
  <c r="C15" i="42" s="1"/>
  <c r="AD16" i="45" s="1"/>
  <c r="D16" i="42"/>
  <c r="C16" i="42" s="1"/>
  <c r="D17" i="42"/>
  <c r="C17" i="42" s="1"/>
  <c r="AD18" i="45" s="1"/>
  <c r="D18" i="42"/>
  <c r="C18" i="42" s="1"/>
  <c r="D19" i="42"/>
  <c r="C19" i="42" s="1"/>
  <c r="AD20" i="45" s="1"/>
  <c r="D20" i="42"/>
  <c r="C20" i="42" s="1"/>
  <c r="D21" i="42"/>
  <c r="C21" i="42" s="1"/>
  <c r="AD22" i="45" s="1"/>
  <c r="D22" i="42"/>
  <c r="C22" i="42" s="1"/>
  <c r="D23" i="42"/>
  <c r="C23" i="42" s="1"/>
  <c r="AD24" i="45" s="1"/>
  <c r="D24" i="42"/>
  <c r="C24" i="42" s="1"/>
  <c r="D25" i="42"/>
  <c r="C25" i="42" s="1"/>
  <c r="AD26" i="45" s="1"/>
  <c r="D26" i="42"/>
  <c r="C26" i="42" s="1"/>
  <c r="D27" i="42"/>
  <c r="C27" i="42" s="1"/>
  <c r="AD28" i="45" s="1"/>
  <c r="D28" i="42"/>
  <c r="C28" i="42" s="1"/>
  <c r="D29" i="42"/>
  <c r="C29" i="42" s="1"/>
  <c r="AD30" i="45" s="1"/>
  <c r="D30" i="42"/>
  <c r="C30" i="42" s="1"/>
  <c r="D31" i="42"/>
  <c r="C31" i="42" s="1"/>
  <c r="AD32" i="45" s="1"/>
  <c r="D32" i="42"/>
  <c r="C32" i="42" s="1"/>
  <c r="D33" i="42"/>
  <c r="C33" i="42" s="1"/>
  <c r="AD34" i="45" s="1"/>
  <c r="D34" i="42"/>
  <c r="C34" i="42" s="1"/>
  <c r="D35" i="42"/>
  <c r="C35" i="42" s="1"/>
  <c r="AD36" i="45" s="1"/>
  <c r="D36" i="42"/>
  <c r="C36" i="42" s="1"/>
  <c r="D37" i="42"/>
  <c r="C37" i="42" s="1"/>
  <c r="AD38" i="45" s="1"/>
  <c r="D38" i="42"/>
  <c r="C38" i="42" s="1"/>
  <c r="D39" i="42"/>
  <c r="C39" i="42" s="1"/>
  <c r="AD40" i="45" s="1"/>
  <c r="D40" i="42"/>
  <c r="C40" i="42" s="1"/>
  <c r="D41" i="42"/>
  <c r="C41" i="42" s="1"/>
  <c r="AD42" i="45" s="1"/>
  <c r="D42" i="42"/>
  <c r="C42" i="42" s="1"/>
  <c r="D43" i="42"/>
  <c r="C43" i="42" s="1"/>
  <c r="AD44" i="45" s="1"/>
  <c r="D44" i="42"/>
  <c r="C44" i="42" s="1"/>
  <c r="D45" i="42"/>
  <c r="C45" i="42" s="1"/>
  <c r="AD46" i="45" s="1"/>
  <c r="D46" i="42"/>
  <c r="C46" i="42" s="1"/>
  <c r="D47" i="42"/>
  <c r="C47" i="42" s="1"/>
  <c r="AD48" i="45" s="1"/>
  <c r="D48" i="42"/>
  <c r="C48" i="42" s="1"/>
  <c r="D49" i="42"/>
  <c r="C49" i="42" s="1"/>
  <c r="AD50" i="45" s="1"/>
  <c r="D50" i="42"/>
  <c r="C50" i="42" s="1"/>
  <c r="D51" i="42"/>
  <c r="C51" i="42" s="1"/>
  <c r="AD52" i="45" s="1"/>
  <c r="D52" i="42"/>
  <c r="C52" i="42" s="1"/>
  <c r="D53" i="42"/>
  <c r="C53" i="42" s="1"/>
  <c r="AD54" i="45" s="1"/>
  <c r="D54" i="42"/>
  <c r="C54" i="42" s="1"/>
  <c r="D55" i="42"/>
  <c r="C55" i="42" s="1"/>
  <c r="AD56" i="45" s="1"/>
  <c r="D56" i="42"/>
  <c r="C56" i="42" s="1"/>
  <c r="D57" i="42"/>
  <c r="C57" i="42" s="1"/>
  <c r="AD58" i="45" s="1"/>
  <c r="D58" i="42"/>
  <c r="C58" i="42" s="1"/>
  <c r="D59" i="42"/>
  <c r="C59" i="42" s="1"/>
  <c r="AD60" i="45" s="1"/>
  <c r="D60" i="42"/>
  <c r="C60" i="42" s="1"/>
  <c r="D61" i="42"/>
  <c r="C61" i="42" s="1"/>
  <c r="AD62" i="45" s="1"/>
  <c r="D62" i="42"/>
  <c r="C62" i="42" s="1"/>
  <c r="D63" i="42"/>
  <c r="C63" i="42" s="1"/>
  <c r="AD64" i="45" s="1"/>
  <c r="D64" i="42"/>
  <c r="C64" i="42" s="1"/>
  <c r="D65" i="42"/>
  <c r="C65" i="42" s="1"/>
  <c r="AD66" i="45" s="1"/>
  <c r="D66" i="42"/>
  <c r="C66" i="42" s="1"/>
  <c r="D67" i="42"/>
  <c r="C67" i="42" s="1"/>
  <c r="AD68" i="45" s="1"/>
  <c r="D68" i="42"/>
  <c r="C68" i="42" s="1"/>
  <c r="D69" i="42"/>
  <c r="C69" i="42" s="1"/>
  <c r="AD70" i="45" s="1"/>
  <c r="D70" i="42"/>
  <c r="C70" i="42" s="1"/>
  <c r="D77" i="42"/>
  <c r="C77" i="42" s="1"/>
  <c r="AD78" i="45" s="1"/>
  <c r="D78" i="42"/>
  <c r="C78" i="42" s="1"/>
  <c r="D79" i="42"/>
  <c r="C79" i="42" s="1"/>
  <c r="AD80" i="45" s="1"/>
  <c r="D80" i="42"/>
  <c r="C80" i="42" s="1"/>
  <c r="D81" i="42"/>
  <c r="C81" i="42" s="1"/>
  <c r="AD82" i="45" s="1"/>
  <c r="D82" i="42"/>
  <c r="C82" i="42" s="1"/>
  <c r="D83" i="42"/>
  <c r="C83" i="42" s="1"/>
  <c r="AD84" i="45" s="1"/>
  <c r="D84" i="42"/>
  <c r="C84" i="42" s="1"/>
  <c r="D85" i="42"/>
  <c r="C85" i="42" s="1"/>
  <c r="AD86" i="45" s="1"/>
  <c r="D86" i="42"/>
  <c r="C86" i="42" s="1"/>
  <c r="D87" i="42"/>
  <c r="C87" i="42" s="1"/>
  <c r="AD88" i="45" s="1"/>
  <c r="D88" i="42"/>
  <c r="C88" i="42" s="1"/>
  <c r="D89" i="42"/>
  <c r="C89" i="42" s="1"/>
  <c r="AD90" i="45" s="1"/>
  <c r="D90" i="42"/>
  <c r="C90" i="42" s="1"/>
  <c r="D91" i="42"/>
  <c r="C91" i="42" s="1"/>
  <c r="AD92" i="45" s="1"/>
  <c r="D92" i="42"/>
  <c r="C92" i="42" s="1"/>
  <c r="D93" i="42"/>
  <c r="C93" i="42" s="1"/>
  <c r="AD94" i="45" s="1"/>
  <c r="D94" i="42"/>
  <c r="C94" i="42" s="1"/>
  <c r="D95" i="42"/>
  <c r="C95" i="42" s="1"/>
  <c r="AD96" i="45" s="1"/>
  <c r="D96" i="42"/>
  <c r="C96" i="42" s="1"/>
  <c r="D97" i="42"/>
  <c r="C97" i="42" s="1"/>
  <c r="AD98" i="45" s="1"/>
  <c r="D98" i="42"/>
  <c r="C98" i="42" s="1"/>
  <c r="AD99" i="45" s="1"/>
  <c r="D99" i="42"/>
  <c r="C99" i="42" s="1"/>
  <c r="AD100" i="45" s="1"/>
  <c r="D100" i="42"/>
  <c r="C100" i="42" s="1"/>
  <c r="AD101" i="45" s="1"/>
  <c r="D101" i="42"/>
  <c r="C101" i="42" s="1"/>
  <c r="AD102" i="45" s="1"/>
  <c r="D102" i="42"/>
  <c r="C102" i="42" s="1"/>
  <c r="AD103" i="45" s="1"/>
  <c r="D103" i="42"/>
  <c r="C103" i="42" s="1"/>
  <c r="AD104" i="45" s="1"/>
  <c r="D104" i="42"/>
  <c r="C104" i="42" s="1"/>
  <c r="AD105" i="45" s="1"/>
  <c r="D3" i="42"/>
  <c r="C3" i="42" s="1"/>
  <c r="AD4" i="45" s="1"/>
  <c r="D85" i="40"/>
  <c r="C85" i="40" s="1"/>
  <c r="D86" i="40"/>
  <c r="C86" i="40" s="1"/>
  <c r="D87" i="40"/>
  <c r="C87" i="40" s="1"/>
  <c r="D88" i="40"/>
  <c r="C88" i="40" s="1"/>
  <c r="D89" i="40"/>
  <c r="C89" i="40" s="1"/>
  <c r="D90" i="40"/>
  <c r="C90" i="40" s="1"/>
  <c r="AP111" i="45" s="1"/>
  <c r="D91" i="40"/>
  <c r="C91" i="40" s="1"/>
  <c r="D92" i="40"/>
  <c r="C92" i="40" s="1"/>
  <c r="D93" i="40"/>
  <c r="C93" i="40" s="1"/>
  <c r="D94" i="40"/>
  <c r="C94" i="40" s="1"/>
  <c r="AP115" i="45" s="1"/>
  <c r="D4" i="40"/>
  <c r="C4" i="40" s="1"/>
  <c r="AP25" i="45" s="1"/>
  <c r="D5" i="40"/>
  <c r="C5" i="40" s="1"/>
  <c r="AP26" i="45" s="1"/>
  <c r="D6" i="40"/>
  <c r="C6" i="40" s="1"/>
  <c r="AP27" i="45" s="1"/>
  <c r="D7" i="40"/>
  <c r="C7" i="40" s="1"/>
  <c r="AP28" i="45" s="1"/>
  <c r="D8" i="40"/>
  <c r="C8" i="40" s="1"/>
  <c r="AP29" i="45" s="1"/>
  <c r="D9" i="40"/>
  <c r="C9" i="40" s="1"/>
  <c r="AP30" i="45" s="1"/>
  <c r="D10" i="40"/>
  <c r="C10" i="40" s="1"/>
  <c r="AP31" i="45" s="1"/>
  <c r="D11" i="40"/>
  <c r="C11" i="40" s="1"/>
  <c r="AP32" i="45" s="1"/>
  <c r="D12" i="40"/>
  <c r="C12" i="40" s="1"/>
  <c r="AP33" i="45" s="1"/>
  <c r="D13" i="40"/>
  <c r="C13" i="40" s="1"/>
  <c r="AP34" i="45" s="1"/>
  <c r="D14" i="40"/>
  <c r="C14" i="40" s="1"/>
  <c r="AP35" i="45" s="1"/>
  <c r="D15" i="40"/>
  <c r="C15" i="40" s="1"/>
  <c r="AP36" i="45" s="1"/>
  <c r="D16" i="40"/>
  <c r="C16" i="40" s="1"/>
  <c r="AP37" i="45" s="1"/>
  <c r="D17" i="40"/>
  <c r="C17" i="40" s="1"/>
  <c r="AP38" i="45" s="1"/>
  <c r="D18" i="40"/>
  <c r="C18" i="40" s="1"/>
  <c r="AP39" i="45" s="1"/>
  <c r="D19" i="40"/>
  <c r="C19" i="40" s="1"/>
  <c r="AP40" i="45" s="1"/>
  <c r="D20" i="40"/>
  <c r="C20" i="40" s="1"/>
  <c r="AP41" i="45" s="1"/>
  <c r="D21" i="40"/>
  <c r="C21" i="40" s="1"/>
  <c r="AP42" i="45" s="1"/>
  <c r="D22" i="40"/>
  <c r="C22" i="40" s="1"/>
  <c r="AP43" i="45" s="1"/>
  <c r="D23" i="40"/>
  <c r="C23" i="40" s="1"/>
  <c r="AP44" i="45" s="1"/>
  <c r="D24" i="40"/>
  <c r="C24" i="40" s="1"/>
  <c r="AP45" i="45" s="1"/>
  <c r="D25" i="40"/>
  <c r="C25" i="40" s="1"/>
  <c r="AP46" i="45" s="1"/>
  <c r="D26" i="40"/>
  <c r="C26" i="40" s="1"/>
  <c r="AP47" i="45" s="1"/>
  <c r="D27" i="40"/>
  <c r="C27" i="40" s="1"/>
  <c r="AP48" i="45" s="1"/>
  <c r="D28" i="40"/>
  <c r="C28" i="40" s="1"/>
  <c r="AP49" i="45" s="1"/>
  <c r="D29" i="40"/>
  <c r="C29" i="40" s="1"/>
  <c r="AP50" i="45" s="1"/>
  <c r="D30" i="40"/>
  <c r="C30" i="40" s="1"/>
  <c r="AP51" i="45" s="1"/>
  <c r="D31" i="40"/>
  <c r="C31" i="40" s="1"/>
  <c r="AP52" i="45" s="1"/>
  <c r="D32" i="40"/>
  <c r="C32" i="40" s="1"/>
  <c r="AP53" i="45" s="1"/>
  <c r="D33" i="40"/>
  <c r="C33" i="40" s="1"/>
  <c r="AP54" i="45" s="1"/>
  <c r="D34" i="40"/>
  <c r="C34" i="40" s="1"/>
  <c r="AP55" i="45" s="1"/>
  <c r="D35" i="40"/>
  <c r="C35" i="40" s="1"/>
  <c r="AP56" i="45" s="1"/>
  <c r="D36" i="40"/>
  <c r="C36" i="40" s="1"/>
  <c r="AP57" i="45" s="1"/>
  <c r="D37" i="40"/>
  <c r="C37" i="40" s="1"/>
  <c r="AP58" i="45" s="1"/>
  <c r="D38" i="40"/>
  <c r="C38" i="40" s="1"/>
  <c r="AP59" i="45" s="1"/>
  <c r="D39" i="40"/>
  <c r="C39" i="40" s="1"/>
  <c r="AP60" i="45" s="1"/>
  <c r="D40" i="40"/>
  <c r="C40" i="40" s="1"/>
  <c r="AP61" i="45" s="1"/>
  <c r="D41" i="40"/>
  <c r="C41" i="40" s="1"/>
  <c r="AP62" i="45" s="1"/>
  <c r="D42" i="40"/>
  <c r="C42" i="40" s="1"/>
  <c r="AP63" i="45" s="1"/>
  <c r="D43" i="40"/>
  <c r="C43" i="40" s="1"/>
  <c r="AP64" i="45" s="1"/>
  <c r="D44" i="40"/>
  <c r="C44" i="40" s="1"/>
  <c r="AP65" i="45" s="1"/>
  <c r="D45" i="40"/>
  <c r="C45" i="40" s="1"/>
  <c r="AP66" i="45" s="1"/>
  <c r="D46" i="40"/>
  <c r="C46" i="40" s="1"/>
  <c r="AP67" i="45" s="1"/>
  <c r="D47" i="40"/>
  <c r="C47" i="40" s="1"/>
  <c r="AP68" i="45" s="1"/>
  <c r="D49" i="40"/>
  <c r="C49" i="40" s="1"/>
  <c r="AP70" i="45" s="1"/>
  <c r="D50" i="40"/>
  <c r="C50" i="40" s="1"/>
  <c r="AP71" i="45" s="1"/>
  <c r="D56" i="40"/>
  <c r="C56" i="40" s="1"/>
  <c r="AP77" i="45" s="1"/>
  <c r="D57" i="40"/>
  <c r="C57" i="40" s="1"/>
  <c r="AP78" i="45" s="1"/>
  <c r="D58" i="40"/>
  <c r="C58" i="40" s="1"/>
  <c r="AP79" i="45" s="1"/>
  <c r="D59" i="40"/>
  <c r="C59" i="40" s="1"/>
  <c r="AP80" i="45" s="1"/>
  <c r="D60" i="40"/>
  <c r="C60" i="40" s="1"/>
  <c r="AP81" i="45" s="1"/>
  <c r="D61" i="40"/>
  <c r="C61" i="40" s="1"/>
  <c r="AP82" i="45" s="1"/>
  <c r="D62" i="40"/>
  <c r="C62" i="40" s="1"/>
  <c r="AP83" i="45" s="1"/>
  <c r="D63" i="40"/>
  <c r="C63" i="40" s="1"/>
  <c r="AP84" i="45" s="1"/>
  <c r="D64" i="40"/>
  <c r="C64" i="40" s="1"/>
  <c r="AP85" i="45" s="1"/>
  <c r="D65" i="40"/>
  <c r="C65" i="40" s="1"/>
  <c r="AP86" i="45" s="1"/>
  <c r="D66" i="40"/>
  <c r="C66" i="40" s="1"/>
  <c r="AP87" i="45" s="1"/>
  <c r="D67" i="40"/>
  <c r="C67" i="40" s="1"/>
  <c r="AP88" i="45" s="1"/>
  <c r="D68" i="40"/>
  <c r="C68" i="40" s="1"/>
  <c r="AP89" i="45" s="1"/>
  <c r="D69" i="40"/>
  <c r="C69" i="40" s="1"/>
  <c r="AP90" i="45" s="1"/>
  <c r="D70" i="40"/>
  <c r="C70" i="40" s="1"/>
  <c r="AP91" i="45" s="1"/>
  <c r="D71" i="40"/>
  <c r="C71" i="40" s="1"/>
  <c r="AP92" i="45" s="1"/>
  <c r="D72" i="40"/>
  <c r="C72" i="40" s="1"/>
  <c r="AP93" i="45" s="1"/>
  <c r="D73" i="40"/>
  <c r="C73" i="40" s="1"/>
  <c r="AP94" i="45" s="1"/>
  <c r="D74" i="40"/>
  <c r="C74" i="40" s="1"/>
  <c r="AP95" i="45" s="1"/>
  <c r="D75" i="40"/>
  <c r="C75" i="40" s="1"/>
  <c r="AP96" i="45" s="1"/>
  <c r="D76" i="40"/>
  <c r="C76" i="40" s="1"/>
  <c r="AP97" i="45" s="1"/>
  <c r="D77" i="40"/>
  <c r="C77" i="40" s="1"/>
  <c r="AP98" i="45" s="1"/>
  <c r="D78" i="40"/>
  <c r="C78" i="40" s="1"/>
  <c r="AP99" i="45" s="1"/>
  <c r="D79" i="40"/>
  <c r="C79" i="40" s="1"/>
  <c r="AP100" i="45" s="1"/>
  <c r="D80" i="40"/>
  <c r="C80" i="40" s="1"/>
  <c r="AP101" i="45" s="1"/>
  <c r="D81" i="40"/>
  <c r="C81" i="40" s="1"/>
  <c r="AP102" i="45" s="1"/>
  <c r="D82" i="40"/>
  <c r="C82" i="40" s="1"/>
  <c r="AP103" i="45" s="1"/>
  <c r="D83" i="40"/>
  <c r="C83" i="40" s="1"/>
  <c r="AP104" i="45" s="1"/>
  <c r="D84" i="40"/>
  <c r="C84" i="40" s="1"/>
  <c r="AP105" i="45" s="1"/>
  <c r="D3" i="40"/>
  <c r="C3" i="40" s="1"/>
  <c r="AP24" i="45" s="1"/>
  <c r="D3" i="39"/>
  <c r="C3" i="39" s="1"/>
  <c r="D4" i="39"/>
  <c r="C4" i="39" s="1"/>
  <c r="D5" i="39"/>
  <c r="C5" i="39" s="1"/>
  <c r="D6" i="39"/>
  <c r="C6" i="39" s="1"/>
  <c r="D7" i="39"/>
  <c r="C7" i="39" s="1"/>
  <c r="D8" i="39"/>
  <c r="C8" i="39" s="1"/>
  <c r="D9" i="39"/>
  <c r="C9" i="39" s="1"/>
  <c r="D10" i="39"/>
  <c r="C10" i="39" s="1"/>
  <c r="D11" i="39"/>
  <c r="C11" i="39" s="1"/>
  <c r="D12" i="39"/>
  <c r="C12" i="39" s="1"/>
  <c r="D13" i="39"/>
  <c r="C13" i="39" s="1"/>
  <c r="D14" i="39"/>
  <c r="C14" i="39" s="1"/>
  <c r="D15" i="39"/>
  <c r="C15" i="39" s="1"/>
  <c r="D16" i="39"/>
  <c r="C16" i="39" s="1"/>
  <c r="D17" i="39"/>
  <c r="C17" i="39" s="1"/>
  <c r="D18" i="39"/>
  <c r="C18" i="39" s="1"/>
  <c r="D19" i="39"/>
  <c r="C19" i="39" s="1"/>
  <c r="D20" i="39"/>
  <c r="C20" i="39" s="1"/>
  <c r="D21" i="39"/>
  <c r="C21" i="39" s="1"/>
  <c r="D23" i="39"/>
  <c r="C23" i="39" s="1"/>
  <c r="D24" i="39"/>
  <c r="C24" i="39" s="1"/>
  <c r="D25" i="39"/>
  <c r="C25" i="39" s="1"/>
  <c r="D26" i="39"/>
  <c r="C26" i="39" s="1"/>
  <c r="D27" i="39"/>
  <c r="C27" i="39" s="1"/>
  <c r="D28" i="39"/>
  <c r="C28" i="39" s="1"/>
  <c r="D29" i="39"/>
  <c r="C29" i="39" s="1"/>
  <c r="D30" i="39"/>
  <c r="C30" i="39" s="1"/>
  <c r="D31" i="39"/>
  <c r="C31" i="39" s="1"/>
  <c r="D32" i="39"/>
  <c r="C32" i="39" s="1"/>
  <c r="D33" i="39"/>
  <c r="C33" i="39" s="1"/>
  <c r="D34" i="39"/>
  <c r="C34" i="39" s="1"/>
  <c r="D35" i="39"/>
  <c r="C35" i="39" s="1"/>
  <c r="D36" i="39"/>
  <c r="C36" i="39" s="1"/>
  <c r="D37" i="39"/>
  <c r="C37" i="39" s="1"/>
  <c r="D38" i="39"/>
  <c r="C38" i="39" s="1"/>
  <c r="D39" i="39"/>
  <c r="C39" i="39" s="1"/>
  <c r="D40" i="39"/>
  <c r="C40" i="39" s="1"/>
  <c r="D41" i="39"/>
  <c r="C41" i="39" s="1"/>
  <c r="D42" i="39"/>
  <c r="C42" i="39" s="1"/>
  <c r="D43" i="39"/>
  <c r="C43" i="39" s="1"/>
  <c r="D44" i="39"/>
  <c r="C44" i="39" s="1"/>
  <c r="D45" i="39"/>
  <c r="C45" i="39" s="1"/>
  <c r="D46" i="39"/>
  <c r="C46" i="39" s="1"/>
  <c r="D47" i="39"/>
  <c r="C47" i="39" s="1"/>
  <c r="D48" i="39"/>
  <c r="C48" i="39" s="1"/>
  <c r="D49" i="39"/>
  <c r="C49" i="39" s="1"/>
  <c r="D50" i="39"/>
  <c r="C50" i="39" s="1"/>
  <c r="D51" i="39"/>
  <c r="C51" i="39" s="1"/>
  <c r="D52" i="39"/>
  <c r="C52" i="39" s="1"/>
  <c r="D53" i="39"/>
  <c r="C53" i="39" s="1"/>
  <c r="D54" i="39"/>
  <c r="C54" i="39" s="1"/>
  <c r="D55" i="39"/>
  <c r="C55" i="39" s="1"/>
  <c r="D56" i="39"/>
  <c r="C56" i="39" s="1"/>
  <c r="D57" i="39"/>
  <c r="C57" i="39" s="1"/>
  <c r="D65" i="39"/>
  <c r="C65" i="39" s="1"/>
  <c r="D66" i="39"/>
  <c r="C66" i="39" s="1"/>
  <c r="D67" i="39"/>
  <c r="C67" i="39" s="1"/>
  <c r="D68" i="39"/>
  <c r="C68" i="39" s="1"/>
  <c r="D69" i="39"/>
  <c r="C69" i="39" s="1"/>
  <c r="D70" i="39"/>
  <c r="C70" i="39" s="1"/>
  <c r="D71" i="39"/>
  <c r="C71" i="39" s="1"/>
  <c r="D72" i="39"/>
  <c r="C72" i="39" s="1"/>
  <c r="D73" i="39"/>
  <c r="C73" i="39" s="1"/>
  <c r="D74" i="39"/>
  <c r="C74" i="39" s="1"/>
  <c r="D75" i="39"/>
  <c r="C75" i="39" s="1"/>
  <c r="C76" i="39"/>
  <c r="D77" i="39"/>
  <c r="C77" i="39" s="1"/>
  <c r="AI91" i="45" s="1"/>
  <c r="D78" i="39"/>
  <c r="C78" i="39" s="1"/>
  <c r="AI92" i="45" s="1"/>
  <c r="D79" i="39"/>
  <c r="C79" i="39" s="1"/>
  <c r="AI93" i="45" s="1"/>
  <c r="D80" i="39"/>
  <c r="C80" i="39" s="1"/>
  <c r="AI94" i="45" s="1"/>
  <c r="D81" i="39"/>
  <c r="C81" i="39" s="1"/>
  <c r="AI95" i="45" s="1"/>
  <c r="D82" i="39"/>
  <c r="C82" i="39" s="1"/>
  <c r="AI96" i="45" s="1"/>
  <c r="D83" i="39"/>
  <c r="C83" i="39" s="1"/>
  <c r="AI97" i="45" s="1"/>
  <c r="D84" i="39"/>
  <c r="C84" i="39" s="1"/>
  <c r="AI98" i="45" s="1"/>
  <c r="D85" i="39"/>
  <c r="C85" i="39" s="1"/>
  <c r="AI99" i="45" s="1"/>
  <c r="D86" i="39"/>
  <c r="C86" i="39" s="1"/>
  <c r="AI100" i="45" s="1"/>
  <c r="D87" i="39"/>
  <c r="C87" i="39" s="1"/>
  <c r="AI101" i="45" s="1"/>
  <c r="D88" i="39"/>
  <c r="C88" i="39" s="1"/>
  <c r="AI102" i="45" s="1"/>
  <c r="D89" i="39"/>
  <c r="C89" i="39" s="1"/>
  <c r="AI103" i="45" s="1"/>
  <c r="D90" i="39"/>
  <c r="C90" i="39" s="1"/>
  <c r="AI104" i="45" s="1"/>
  <c r="D91" i="39"/>
  <c r="C91" i="39" s="1"/>
  <c r="AI105" i="45" s="1"/>
  <c r="D3" i="38"/>
  <c r="C3" i="38" s="1"/>
  <c r="D4" i="38"/>
  <c r="C4" i="38" s="1"/>
  <c r="D5" i="38"/>
  <c r="C5" i="38" s="1"/>
  <c r="D6" i="38"/>
  <c r="C6" i="38" s="1"/>
  <c r="D7" i="38"/>
  <c r="C7" i="38" s="1"/>
  <c r="D8" i="38"/>
  <c r="C8" i="38" s="1"/>
  <c r="D9" i="38"/>
  <c r="C9" i="38" s="1"/>
  <c r="D10" i="38"/>
  <c r="C10" i="38" s="1"/>
  <c r="D11" i="38"/>
  <c r="C11" i="38" s="1"/>
  <c r="D12" i="38"/>
  <c r="C12" i="38" s="1"/>
  <c r="D13" i="38"/>
  <c r="C13" i="38" s="1"/>
  <c r="D14" i="38"/>
  <c r="C14" i="38" s="1"/>
  <c r="D15" i="38"/>
  <c r="C15" i="38" s="1"/>
  <c r="D16" i="38"/>
  <c r="C16" i="38" s="1"/>
  <c r="D17" i="38"/>
  <c r="C17" i="38" s="1"/>
  <c r="D18" i="38"/>
  <c r="C18" i="38" s="1"/>
  <c r="D19" i="38"/>
  <c r="C19" i="38" s="1"/>
  <c r="D20" i="38"/>
  <c r="C20" i="38" s="1"/>
  <c r="D21" i="38"/>
  <c r="C21" i="38" s="1"/>
  <c r="D23" i="38"/>
  <c r="C23" i="38" s="1"/>
  <c r="AH37" i="45" s="1"/>
  <c r="D24" i="38"/>
  <c r="C24" i="38" s="1"/>
  <c r="AH38" i="45" s="1"/>
  <c r="D25" i="38"/>
  <c r="C25" i="38" s="1"/>
  <c r="AH39" i="45" s="1"/>
  <c r="D26" i="38"/>
  <c r="C26" i="38" s="1"/>
  <c r="AH40" i="45" s="1"/>
  <c r="D27" i="38"/>
  <c r="C27" i="38" s="1"/>
  <c r="AH41" i="45" s="1"/>
  <c r="D28" i="38"/>
  <c r="C28" i="38" s="1"/>
  <c r="AH42" i="45" s="1"/>
  <c r="D29" i="38"/>
  <c r="C29" i="38" s="1"/>
  <c r="AH43" i="45" s="1"/>
  <c r="D30" i="38"/>
  <c r="C30" i="38" s="1"/>
  <c r="AH44" i="45" s="1"/>
  <c r="D31" i="38"/>
  <c r="C31" i="38" s="1"/>
  <c r="AH45" i="45" s="1"/>
  <c r="D32" i="38"/>
  <c r="C32" i="38" s="1"/>
  <c r="AH46" i="45" s="1"/>
  <c r="D33" i="38"/>
  <c r="C33" i="38" s="1"/>
  <c r="AH47" i="45" s="1"/>
  <c r="D34" i="38"/>
  <c r="C34" i="38" s="1"/>
  <c r="AH48" i="45" s="1"/>
  <c r="D35" i="38"/>
  <c r="C35" i="38" s="1"/>
  <c r="AH49" i="45" s="1"/>
  <c r="D36" i="38"/>
  <c r="C36" i="38" s="1"/>
  <c r="AH50" i="45" s="1"/>
  <c r="D37" i="38"/>
  <c r="C37" i="38" s="1"/>
  <c r="AH51" i="45" s="1"/>
  <c r="D38" i="38"/>
  <c r="C38" i="38" s="1"/>
  <c r="AH52" i="45" s="1"/>
  <c r="D39" i="38"/>
  <c r="C39" i="38" s="1"/>
  <c r="AH53" i="45" s="1"/>
  <c r="D40" i="38"/>
  <c r="C40" i="38" s="1"/>
  <c r="AH54" i="45" s="1"/>
  <c r="D41" i="38"/>
  <c r="C41" i="38" s="1"/>
  <c r="AH55" i="45" s="1"/>
  <c r="D42" i="38"/>
  <c r="C42" i="38" s="1"/>
  <c r="AH56" i="45" s="1"/>
  <c r="D43" i="38"/>
  <c r="C43" i="38" s="1"/>
  <c r="AH57" i="45" s="1"/>
  <c r="D44" i="38"/>
  <c r="C44" i="38" s="1"/>
  <c r="AH58" i="45" s="1"/>
  <c r="D45" i="38"/>
  <c r="C45" i="38" s="1"/>
  <c r="AH59" i="45" s="1"/>
  <c r="D46" i="38"/>
  <c r="C46" i="38" s="1"/>
  <c r="AH60" i="45" s="1"/>
  <c r="D47" i="38"/>
  <c r="C47" i="38" s="1"/>
  <c r="AH61" i="45" s="1"/>
  <c r="D48" i="38"/>
  <c r="C48" i="38" s="1"/>
  <c r="AH62" i="45" s="1"/>
  <c r="D49" i="38"/>
  <c r="C49" i="38" s="1"/>
  <c r="AH63" i="45" s="1"/>
  <c r="D50" i="38"/>
  <c r="C50" i="38" s="1"/>
  <c r="AH64" i="45" s="1"/>
  <c r="D51" i="38"/>
  <c r="C51" i="38" s="1"/>
  <c r="AH65" i="45" s="1"/>
  <c r="D52" i="38"/>
  <c r="C52" i="38" s="1"/>
  <c r="AH66" i="45" s="1"/>
  <c r="D53" i="38"/>
  <c r="C53" i="38" s="1"/>
  <c r="AH67" i="45" s="1"/>
  <c r="D54" i="38"/>
  <c r="C54" i="38" s="1"/>
  <c r="AH68" i="45" s="1"/>
  <c r="D55" i="38"/>
  <c r="C55" i="38" s="1"/>
  <c r="AH69" i="45" s="1"/>
  <c r="D56" i="38"/>
  <c r="C56" i="38" s="1"/>
  <c r="AH70" i="45" s="1"/>
  <c r="D57" i="38"/>
  <c r="C57" i="38" s="1"/>
  <c r="AH71" i="45" s="1"/>
  <c r="D65" i="38"/>
  <c r="C65" i="38" s="1"/>
  <c r="AH79" i="45" s="1"/>
  <c r="D66" i="38"/>
  <c r="C66" i="38" s="1"/>
  <c r="AH80" i="45" s="1"/>
  <c r="D67" i="38"/>
  <c r="C67" i="38" s="1"/>
  <c r="AH81" i="45" s="1"/>
  <c r="D68" i="38"/>
  <c r="C68" i="38" s="1"/>
  <c r="AH82" i="45" s="1"/>
  <c r="D69" i="38"/>
  <c r="C69" i="38" s="1"/>
  <c r="AH83" i="45" s="1"/>
  <c r="D70" i="38"/>
  <c r="C70" i="38" s="1"/>
  <c r="AH84" i="45" s="1"/>
  <c r="D71" i="38"/>
  <c r="C71" i="38" s="1"/>
  <c r="AH85" i="45" s="1"/>
  <c r="D72" i="38"/>
  <c r="C72" i="38" s="1"/>
  <c r="AH86" i="45" s="1"/>
  <c r="D73" i="38"/>
  <c r="C73" i="38" s="1"/>
  <c r="AH87" i="45" s="1"/>
  <c r="D74" i="38"/>
  <c r="C74" i="38" s="1"/>
  <c r="AH88" i="45" s="1"/>
  <c r="D75" i="38"/>
  <c r="C75" i="38" s="1"/>
  <c r="AH89" i="45" s="1"/>
  <c r="D76" i="38"/>
  <c r="C76" i="38" s="1"/>
  <c r="AH90" i="45" s="1"/>
  <c r="D77" i="38"/>
  <c r="C77" i="38" s="1"/>
  <c r="AH91" i="45" s="1"/>
  <c r="D78" i="38"/>
  <c r="C78" i="38" s="1"/>
  <c r="AH92" i="45" s="1"/>
  <c r="D79" i="38"/>
  <c r="C79" i="38" s="1"/>
  <c r="AH93" i="45" s="1"/>
  <c r="D80" i="38"/>
  <c r="C80" i="38" s="1"/>
  <c r="AH94" i="45" s="1"/>
  <c r="D81" i="38"/>
  <c r="C81" i="38" s="1"/>
  <c r="AH95" i="45" s="1"/>
  <c r="D82" i="38"/>
  <c r="C82" i="38" s="1"/>
  <c r="AH96" i="45" s="1"/>
  <c r="D83" i="38"/>
  <c r="C83" i="38" s="1"/>
  <c r="AH97" i="45" s="1"/>
  <c r="D84" i="38"/>
  <c r="C84" i="38" s="1"/>
  <c r="AH98" i="45" s="1"/>
  <c r="D85" i="38"/>
  <c r="C85" i="38" s="1"/>
  <c r="AH99" i="45" s="1"/>
  <c r="D86" i="38"/>
  <c r="C86" i="38" s="1"/>
  <c r="AH100" i="45" s="1"/>
  <c r="D87" i="38"/>
  <c r="C87" i="38" s="1"/>
  <c r="AH101" i="45" s="1"/>
  <c r="D88" i="38"/>
  <c r="C88" i="38" s="1"/>
  <c r="AH102" i="45" s="1"/>
  <c r="D89" i="38"/>
  <c r="C89" i="38" s="1"/>
  <c r="AH103" i="45" s="1"/>
  <c r="D90" i="38"/>
  <c r="C90" i="38" s="1"/>
  <c r="AH104" i="45" s="1"/>
  <c r="D91" i="38"/>
  <c r="C91" i="38" s="1"/>
  <c r="AH105" i="45" s="1"/>
  <c r="D3" i="37"/>
  <c r="C3" i="37" s="1"/>
  <c r="AF17" i="45" s="1"/>
  <c r="D4" i="37"/>
  <c r="C4" i="37" s="1"/>
  <c r="D5" i="37"/>
  <c r="C5" i="37" s="1"/>
  <c r="D6" i="37"/>
  <c r="C6" i="37" s="1"/>
  <c r="AF20" i="45" s="1"/>
  <c r="D7" i="37"/>
  <c r="C7" i="37" s="1"/>
  <c r="D8" i="37"/>
  <c r="C8" i="37" s="1"/>
  <c r="AF22" i="45" s="1"/>
  <c r="D9" i="37"/>
  <c r="C9" i="37" s="1"/>
  <c r="AF23" i="45" s="1"/>
  <c r="D10" i="37"/>
  <c r="C10" i="37" s="1"/>
  <c r="AF24" i="45" s="1"/>
  <c r="D11" i="37"/>
  <c r="C11" i="37" s="1"/>
  <c r="AF25" i="45" s="1"/>
  <c r="D12" i="37"/>
  <c r="C12" i="37" s="1"/>
  <c r="AF26" i="45" s="1"/>
  <c r="D13" i="37"/>
  <c r="C13" i="37" s="1"/>
  <c r="AF27" i="45" s="1"/>
  <c r="D14" i="37"/>
  <c r="C14" i="37" s="1"/>
  <c r="AF28" i="45" s="1"/>
  <c r="D15" i="37"/>
  <c r="C15" i="37" s="1"/>
  <c r="AF29" i="45" s="1"/>
  <c r="D16" i="37"/>
  <c r="C16" i="37" s="1"/>
  <c r="AF30" i="45" s="1"/>
  <c r="D17" i="37"/>
  <c r="C17" i="37" s="1"/>
  <c r="AF31" i="45" s="1"/>
  <c r="D18" i="37"/>
  <c r="C18" i="37" s="1"/>
  <c r="AF32" i="45" s="1"/>
  <c r="D19" i="37"/>
  <c r="C19" i="37" s="1"/>
  <c r="AF33" i="45" s="1"/>
  <c r="D20" i="37"/>
  <c r="C20" i="37" s="1"/>
  <c r="AF34" i="45" s="1"/>
  <c r="D21" i="37"/>
  <c r="C21" i="37" s="1"/>
  <c r="AF35" i="45" s="1"/>
  <c r="D23" i="37"/>
  <c r="C23" i="37" s="1"/>
  <c r="D24" i="37"/>
  <c r="C24" i="37" s="1"/>
  <c r="AG38" i="45" s="1"/>
  <c r="D25" i="37"/>
  <c r="C25" i="37" s="1"/>
  <c r="AG39" i="45" s="1"/>
  <c r="D26" i="37"/>
  <c r="C26" i="37" s="1"/>
  <c r="AG40" i="45" s="1"/>
  <c r="D27" i="37"/>
  <c r="C27" i="37" s="1"/>
  <c r="AG41" i="45" s="1"/>
  <c r="D28" i="37"/>
  <c r="C28" i="37" s="1"/>
  <c r="AG42" i="45" s="1"/>
  <c r="D29" i="37"/>
  <c r="C29" i="37" s="1"/>
  <c r="AG43" i="45" s="1"/>
  <c r="D30" i="37"/>
  <c r="C30" i="37" s="1"/>
  <c r="AG44" i="45" s="1"/>
  <c r="D31" i="37"/>
  <c r="C31" i="37" s="1"/>
  <c r="AG45" i="45" s="1"/>
  <c r="D32" i="37"/>
  <c r="C32" i="37" s="1"/>
  <c r="AG46" i="45" s="1"/>
  <c r="D33" i="37"/>
  <c r="C33" i="37" s="1"/>
  <c r="AG47" i="45" s="1"/>
  <c r="D34" i="37"/>
  <c r="C34" i="37" s="1"/>
  <c r="AG48" i="45" s="1"/>
  <c r="D35" i="37"/>
  <c r="C35" i="37" s="1"/>
  <c r="AG49" i="45" s="1"/>
  <c r="D36" i="37"/>
  <c r="C36" i="37" s="1"/>
  <c r="AG50" i="45" s="1"/>
  <c r="D37" i="37"/>
  <c r="C37" i="37" s="1"/>
  <c r="AG51" i="45" s="1"/>
  <c r="D38" i="37"/>
  <c r="C38" i="37" s="1"/>
  <c r="AG52" i="45" s="1"/>
  <c r="D39" i="37"/>
  <c r="C39" i="37" s="1"/>
  <c r="AG53" i="45" s="1"/>
  <c r="D40" i="37"/>
  <c r="C40" i="37" s="1"/>
  <c r="AG54" i="45" s="1"/>
  <c r="D41" i="37"/>
  <c r="C41" i="37" s="1"/>
  <c r="AG55" i="45" s="1"/>
  <c r="D42" i="37"/>
  <c r="C42" i="37" s="1"/>
  <c r="AG56" i="45" s="1"/>
  <c r="D43" i="37"/>
  <c r="C43" i="37" s="1"/>
  <c r="AG57" i="45" s="1"/>
  <c r="D44" i="37"/>
  <c r="C44" i="37" s="1"/>
  <c r="AG58" i="45" s="1"/>
  <c r="D45" i="37"/>
  <c r="C45" i="37" s="1"/>
  <c r="AG59" i="45" s="1"/>
  <c r="D46" i="37"/>
  <c r="C46" i="37" s="1"/>
  <c r="AG60" i="45" s="1"/>
  <c r="D47" i="37"/>
  <c r="C47" i="37" s="1"/>
  <c r="AG61" i="45" s="1"/>
  <c r="D48" i="37"/>
  <c r="C48" i="37" s="1"/>
  <c r="AG62" i="45" s="1"/>
  <c r="D49" i="37"/>
  <c r="C49" i="37" s="1"/>
  <c r="AG63" i="45" s="1"/>
  <c r="D50" i="37"/>
  <c r="C50" i="37" s="1"/>
  <c r="AG64" i="45" s="1"/>
  <c r="D51" i="37"/>
  <c r="C51" i="37" s="1"/>
  <c r="AG65" i="45" s="1"/>
  <c r="D52" i="37"/>
  <c r="C52" i="37" s="1"/>
  <c r="AG66" i="45" s="1"/>
  <c r="D53" i="37"/>
  <c r="C53" i="37" s="1"/>
  <c r="AG67" i="45" s="1"/>
  <c r="D54" i="37"/>
  <c r="C54" i="37" s="1"/>
  <c r="AG68" i="45" s="1"/>
  <c r="D55" i="37"/>
  <c r="C55" i="37" s="1"/>
  <c r="AG69" i="45" s="1"/>
  <c r="D56" i="37"/>
  <c r="C56" i="37" s="1"/>
  <c r="AG70" i="45" s="1"/>
  <c r="D57" i="37"/>
  <c r="C57" i="37" s="1"/>
  <c r="AG71" i="45" s="1"/>
  <c r="D63" i="37"/>
  <c r="C63" i="37" s="1"/>
  <c r="AG77" i="45" s="1"/>
  <c r="D64" i="37"/>
  <c r="C64" i="37" s="1"/>
  <c r="AG78" i="45" s="1"/>
  <c r="D65" i="37"/>
  <c r="C65" i="37" s="1"/>
  <c r="AG79" i="45" s="1"/>
  <c r="D66" i="37"/>
  <c r="C66" i="37" s="1"/>
  <c r="AG80" i="45" s="1"/>
  <c r="D67" i="37"/>
  <c r="C67" i="37" s="1"/>
  <c r="AG81" i="45" s="1"/>
  <c r="D68" i="37"/>
  <c r="C68" i="37" s="1"/>
  <c r="AG82" i="45" s="1"/>
  <c r="D69" i="37"/>
  <c r="C69" i="37" s="1"/>
  <c r="AG83" i="45" s="1"/>
  <c r="D70" i="37"/>
  <c r="C70" i="37" s="1"/>
  <c r="AG84" i="45" s="1"/>
  <c r="D71" i="37"/>
  <c r="C71" i="37" s="1"/>
  <c r="AG85" i="45" s="1"/>
  <c r="D72" i="37"/>
  <c r="C72" i="37" s="1"/>
  <c r="AG86" i="45" s="1"/>
  <c r="D73" i="37"/>
  <c r="C73" i="37" s="1"/>
  <c r="AG87" i="45" s="1"/>
  <c r="D74" i="37"/>
  <c r="C74" i="37" s="1"/>
  <c r="AG88" i="45" s="1"/>
  <c r="D75" i="37"/>
  <c r="C75" i="37" s="1"/>
  <c r="AG89" i="45" s="1"/>
  <c r="D76" i="37"/>
  <c r="C76" i="37" s="1"/>
  <c r="AG90" i="45" s="1"/>
  <c r="D77" i="37"/>
  <c r="C77" i="37" s="1"/>
  <c r="AG91" i="45" s="1"/>
  <c r="D78" i="37"/>
  <c r="C78" i="37" s="1"/>
  <c r="AG92" i="45" s="1"/>
  <c r="D79" i="37"/>
  <c r="C79" i="37" s="1"/>
  <c r="AG93" i="45" s="1"/>
  <c r="D80" i="37"/>
  <c r="C80" i="37" s="1"/>
  <c r="AG94" i="45" s="1"/>
  <c r="D81" i="37"/>
  <c r="C81" i="37" s="1"/>
  <c r="AG95" i="45" s="1"/>
  <c r="D82" i="37"/>
  <c r="C82" i="37" s="1"/>
  <c r="AG96" i="45" s="1"/>
  <c r="D83" i="37"/>
  <c r="C83" i="37" s="1"/>
  <c r="AG97" i="45" s="1"/>
  <c r="D84" i="37"/>
  <c r="C84" i="37" s="1"/>
  <c r="AG98" i="45" s="1"/>
  <c r="D85" i="37"/>
  <c r="C85" i="37" s="1"/>
  <c r="AG99" i="45" s="1"/>
  <c r="D86" i="37"/>
  <c r="C86" i="37" s="1"/>
  <c r="AG100" i="45" s="1"/>
  <c r="D87" i="37"/>
  <c r="C87" i="37" s="1"/>
  <c r="AG101" i="45" s="1"/>
  <c r="D88" i="37"/>
  <c r="C88" i="37" s="1"/>
  <c r="AG102" i="45" s="1"/>
  <c r="D89" i="37"/>
  <c r="C89" i="37" s="1"/>
  <c r="AG103" i="45" s="1"/>
  <c r="D90" i="37"/>
  <c r="C90" i="37" s="1"/>
  <c r="AG104" i="45" s="1"/>
  <c r="D91" i="37"/>
  <c r="C91" i="37" s="1"/>
  <c r="AG105" i="45" s="1"/>
  <c r="U103" i="21"/>
  <c r="U104" i="21"/>
  <c r="U102" i="21"/>
  <c r="T103" i="21"/>
  <c r="T104" i="21"/>
  <c r="T102" i="21"/>
  <c r="T71" i="21"/>
  <c r="T72" i="21"/>
  <c r="T73" i="21"/>
  <c r="T74" i="21"/>
  <c r="T75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P60" i="10"/>
  <c r="Q60" i="10"/>
  <c r="R60" i="10"/>
  <c r="S60" i="10"/>
  <c r="T60" i="10"/>
  <c r="O60" i="10"/>
  <c r="J66" i="10"/>
  <c r="K66" i="10"/>
  <c r="L66" i="10"/>
  <c r="M66" i="10"/>
  <c r="N66" i="10"/>
  <c r="O66" i="10"/>
  <c r="P66" i="10"/>
  <c r="Q66" i="10"/>
  <c r="R66" i="10"/>
  <c r="I66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J61" i="10"/>
  <c r="K61" i="10"/>
  <c r="L61" i="10"/>
  <c r="M61" i="10"/>
  <c r="N61" i="10"/>
  <c r="O61" i="10"/>
  <c r="P61" i="10"/>
  <c r="Q61" i="10"/>
  <c r="R61" i="10"/>
  <c r="S61" i="10"/>
  <c r="T61" i="10"/>
  <c r="I61" i="10"/>
  <c r="D72" i="4"/>
  <c r="C72" i="4" s="1"/>
  <c r="B72" i="45" s="1"/>
  <c r="D73" i="4"/>
  <c r="C73" i="4" s="1"/>
  <c r="D74" i="4"/>
  <c r="C74" i="4" s="1"/>
  <c r="B74" i="45" s="1"/>
  <c r="D75" i="4"/>
  <c r="C75" i="4" s="1"/>
  <c r="B75" i="45" s="1"/>
  <c r="D76" i="4"/>
  <c r="C76" i="4" s="1"/>
  <c r="B76" i="45" s="1"/>
  <c r="D77" i="4"/>
  <c r="C77" i="4" s="1"/>
  <c r="D78" i="4"/>
  <c r="C78" i="4" s="1"/>
  <c r="B78" i="45" s="1"/>
  <c r="D61" i="9"/>
  <c r="C61" i="9" s="1"/>
  <c r="T72" i="45" s="1"/>
  <c r="D62" i="9"/>
  <c r="C62" i="9" s="1"/>
  <c r="D63" i="9"/>
  <c r="C63" i="9" s="1"/>
  <c r="T74" i="45" s="1"/>
  <c r="D64" i="9"/>
  <c r="C64" i="9" s="1"/>
  <c r="T75" i="45" s="1"/>
  <c r="D65" i="9"/>
  <c r="C65" i="9" s="1"/>
  <c r="T76" i="45" s="1"/>
  <c r="D64" i="5"/>
  <c r="C64" i="5" s="1"/>
  <c r="D65" i="5"/>
  <c r="C65" i="5" s="1"/>
  <c r="D73" i="45" s="1"/>
  <c r="D66" i="5"/>
  <c r="C66" i="5" s="1"/>
  <c r="D67" i="5"/>
  <c r="C67" i="5" s="1"/>
  <c r="D75" i="45" s="1"/>
  <c r="D68" i="5"/>
  <c r="C68" i="5" s="1"/>
  <c r="P100" i="21"/>
  <c r="O100" i="21"/>
  <c r="N100" i="21"/>
  <c r="M100" i="21"/>
  <c r="L100" i="21"/>
  <c r="K100" i="21"/>
  <c r="J100" i="21"/>
  <c r="I100" i="21"/>
  <c r="D97" i="36"/>
  <c r="C97" i="36" s="1"/>
  <c r="P105" i="45" s="1"/>
  <c r="D96" i="36"/>
  <c r="C96" i="36" s="1"/>
  <c r="P104" i="45" s="1"/>
  <c r="D95" i="36"/>
  <c r="C95" i="36" s="1"/>
  <c r="P103" i="45" s="1"/>
  <c r="D94" i="36"/>
  <c r="C94" i="36" s="1"/>
  <c r="P102" i="45" s="1"/>
  <c r="D93" i="36"/>
  <c r="C93" i="36" s="1"/>
  <c r="P101" i="45" s="1"/>
  <c r="D97" i="35"/>
  <c r="C97" i="35" s="1"/>
  <c r="O105" i="45" s="1"/>
  <c r="D96" i="35"/>
  <c r="C96" i="35" s="1"/>
  <c r="O104" i="45" s="1"/>
  <c r="D95" i="35"/>
  <c r="C95" i="35" s="1"/>
  <c r="D94" i="35"/>
  <c r="C94" i="35" s="1"/>
  <c r="O102" i="45" s="1"/>
  <c r="D93" i="35"/>
  <c r="C93" i="35" s="1"/>
  <c r="O101" i="45" s="1"/>
  <c r="D97" i="34"/>
  <c r="C97" i="34" s="1"/>
  <c r="N105" i="45" s="1"/>
  <c r="D96" i="34"/>
  <c r="C96" i="34" s="1"/>
  <c r="N104" i="45" s="1"/>
  <c r="D95" i="34"/>
  <c r="C95" i="34" s="1"/>
  <c r="N103" i="45" s="1"/>
  <c r="D94" i="34"/>
  <c r="C94" i="34" s="1"/>
  <c r="N102" i="45" s="1"/>
  <c r="D93" i="34"/>
  <c r="C93" i="34" s="1"/>
  <c r="N101" i="45" s="1"/>
  <c r="D94" i="33"/>
  <c r="C94" i="33" s="1"/>
  <c r="M102" i="45" s="1"/>
  <c r="D95" i="33"/>
  <c r="D96" i="33"/>
  <c r="C96" i="33" s="1"/>
  <c r="M104" i="45" s="1"/>
  <c r="D97" i="33"/>
  <c r="C97" i="33" s="1"/>
  <c r="D93" i="33"/>
  <c r="C93" i="33" s="1"/>
  <c r="M101" i="45" s="1"/>
  <c r="C95" i="33"/>
  <c r="M103" i="45" s="1"/>
  <c r="D97" i="29"/>
  <c r="C97" i="29" s="1"/>
  <c r="I105" i="45" s="1"/>
  <c r="D96" i="29"/>
  <c r="C96" i="29" s="1"/>
  <c r="I104" i="45" s="1"/>
  <c r="D95" i="29"/>
  <c r="C95" i="29" s="1"/>
  <c r="I103" i="45" s="1"/>
  <c r="D94" i="29"/>
  <c r="C94" i="29" s="1"/>
  <c r="I102" i="45" s="1"/>
  <c r="D93" i="29"/>
  <c r="C93" i="29" s="1"/>
  <c r="I101" i="45" s="1"/>
  <c r="D94" i="30"/>
  <c r="C94" i="30" s="1"/>
  <c r="J102" i="45" s="1"/>
  <c r="D95" i="30"/>
  <c r="C95" i="30" s="1"/>
  <c r="J103" i="45" s="1"/>
  <c r="D96" i="30"/>
  <c r="C96" i="30" s="1"/>
  <c r="J104" i="45" s="1"/>
  <c r="D97" i="30"/>
  <c r="C97" i="30" s="1"/>
  <c r="J105" i="45" s="1"/>
  <c r="D93" i="30"/>
  <c r="C93" i="30" s="1"/>
  <c r="J101" i="45" s="1"/>
  <c r="D94" i="31"/>
  <c r="C94" i="31" s="1"/>
  <c r="K102" i="45" s="1"/>
  <c r="D95" i="31"/>
  <c r="C95" i="31" s="1"/>
  <c r="K103" i="45" s="1"/>
  <c r="D96" i="31"/>
  <c r="C96" i="31" s="1"/>
  <c r="K104" i="45" s="1"/>
  <c r="D97" i="31"/>
  <c r="C97" i="31" s="1"/>
  <c r="D93" i="31"/>
  <c r="C93" i="31" s="1"/>
  <c r="K101" i="45" s="1"/>
  <c r="D94" i="32"/>
  <c r="C94" i="32" s="1"/>
  <c r="L102" i="45" s="1"/>
  <c r="D95" i="32"/>
  <c r="C95" i="32" s="1"/>
  <c r="L103" i="45" s="1"/>
  <c r="D96" i="32"/>
  <c r="C96" i="32" s="1"/>
  <c r="L104" i="45" s="1"/>
  <c r="D97" i="32"/>
  <c r="C97" i="32" s="1"/>
  <c r="L105" i="45" s="1"/>
  <c r="D93" i="32"/>
  <c r="C93" i="32" s="1"/>
  <c r="L101" i="45" s="1"/>
  <c r="AM77" i="21"/>
  <c r="AM78" i="21"/>
  <c r="AM79" i="21"/>
  <c r="AM80" i="21"/>
  <c r="AM81" i="21"/>
  <c r="AM82" i="21"/>
  <c r="AM83" i="21"/>
  <c r="AM84" i="21"/>
  <c r="AM85" i="21"/>
  <c r="AM86" i="21"/>
  <c r="AM87" i="21"/>
  <c r="AM88" i="21"/>
  <c r="AM89" i="21"/>
  <c r="AM90" i="21"/>
  <c r="AM91" i="21"/>
  <c r="AM92" i="21"/>
  <c r="AM93" i="21"/>
  <c r="AM94" i="21"/>
  <c r="AM95" i="21"/>
  <c r="AM96" i="21"/>
  <c r="AM97" i="21"/>
  <c r="AM98" i="21"/>
  <c r="AM99" i="21"/>
  <c r="AM100" i="21"/>
  <c r="AM101" i="21"/>
  <c r="AM102" i="21"/>
  <c r="AM103" i="21"/>
  <c r="AM104" i="21"/>
  <c r="AL32" i="21"/>
  <c r="AL33" i="21"/>
  <c r="AL34" i="21"/>
  <c r="AL35" i="21"/>
  <c r="AL36" i="21"/>
  <c r="AL37" i="21"/>
  <c r="AL38" i="21"/>
  <c r="AL39" i="21"/>
  <c r="AL40" i="21"/>
  <c r="AL41" i="21"/>
  <c r="AL42" i="21"/>
  <c r="AL43" i="21"/>
  <c r="AL44" i="21"/>
  <c r="AL45" i="21"/>
  <c r="AL46" i="21"/>
  <c r="AL47" i="21"/>
  <c r="AL48" i="21"/>
  <c r="AL49" i="21"/>
  <c r="AL50" i="21"/>
  <c r="AL51" i="21"/>
  <c r="AL52" i="21"/>
  <c r="AL53" i="21"/>
  <c r="AL54" i="21"/>
  <c r="AL55" i="21"/>
  <c r="AL56" i="21"/>
  <c r="AL57" i="21"/>
  <c r="AL58" i="21"/>
  <c r="AL59" i="21"/>
  <c r="AL60" i="21"/>
  <c r="AL61" i="21"/>
  <c r="AL62" i="21"/>
  <c r="AL63" i="21"/>
  <c r="AL64" i="21"/>
  <c r="AL65" i="21"/>
  <c r="AL66" i="21"/>
  <c r="AL67" i="21"/>
  <c r="AL68" i="21"/>
  <c r="AL69" i="21"/>
  <c r="AL70" i="21"/>
  <c r="AL71" i="21"/>
  <c r="AL72" i="21"/>
  <c r="AL73" i="21"/>
  <c r="AL74" i="21"/>
  <c r="AL75" i="21"/>
  <c r="AL76" i="21"/>
  <c r="AL77" i="21"/>
  <c r="AL78" i="21"/>
  <c r="AL79" i="21"/>
  <c r="AL80" i="21"/>
  <c r="AL81" i="21"/>
  <c r="AL82" i="21"/>
  <c r="AL83" i="21"/>
  <c r="AL84" i="21"/>
  <c r="AL85" i="21"/>
  <c r="AL86" i="21"/>
  <c r="AL87" i="21"/>
  <c r="AL88" i="21"/>
  <c r="AL89" i="21"/>
  <c r="AL90" i="21"/>
  <c r="AL91" i="21"/>
  <c r="AL92" i="21"/>
  <c r="AL93" i="21"/>
  <c r="AL94" i="21"/>
  <c r="AL95" i="21"/>
  <c r="AL96" i="21"/>
  <c r="AL97" i="21"/>
  <c r="AL98" i="21"/>
  <c r="AL99" i="21"/>
  <c r="AL100" i="21"/>
  <c r="AL101" i="21"/>
  <c r="AL102" i="21"/>
  <c r="AL103" i="21"/>
  <c r="AL104" i="21"/>
  <c r="AL31" i="21"/>
  <c r="AJ20" i="21"/>
  <c r="AJ21" i="21"/>
  <c r="AJ22" i="21"/>
  <c r="AJ23" i="21"/>
  <c r="AJ24" i="21"/>
  <c r="AJ25" i="21"/>
  <c r="AJ26" i="21"/>
  <c r="AJ27" i="21"/>
  <c r="AJ28" i="21"/>
  <c r="AJ29" i="21"/>
  <c r="AJ30" i="21"/>
  <c r="AK31" i="21"/>
  <c r="AK32" i="21"/>
  <c r="AK33" i="21"/>
  <c r="AK34" i="21"/>
  <c r="AK35" i="21"/>
  <c r="AK36" i="21"/>
  <c r="AK37" i="21"/>
  <c r="AK38" i="21"/>
  <c r="AK39" i="21"/>
  <c r="AK40" i="21"/>
  <c r="AK41" i="21"/>
  <c r="AK42" i="21"/>
  <c r="AK43" i="21"/>
  <c r="AK44" i="21"/>
  <c r="AK45" i="21"/>
  <c r="AK46" i="21"/>
  <c r="AK47" i="21"/>
  <c r="AK48" i="21"/>
  <c r="AK49" i="21"/>
  <c r="AK50" i="21"/>
  <c r="AK51" i="21"/>
  <c r="AK52" i="21"/>
  <c r="AK53" i="21"/>
  <c r="AK54" i="21"/>
  <c r="AK55" i="21"/>
  <c r="AK56" i="21"/>
  <c r="AK57" i="21"/>
  <c r="AK58" i="21"/>
  <c r="AK59" i="21"/>
  <c r="AK60" i="21"/>
  <c r="AK61" i="21"/>
  <c r="AK62" i="21"/>
  <c r="AK63" i="21"/>
  <c r="AK64" i="21"/>
  <c r="AK65" i="21"/>
  <c r="AK66" i="21"/>
  <c r="AK67" i="21"/>
  <c r="AK68" i="21"/>
  <c r="AK69" i="21"/>
  <c r="AK70" i="21"/>
  <c r="AK71" i="21"/>
  <c r="AK72" i="21"/>
  <c r="AK73" i="21"/>
  <c r="AK74" i="21"/>
  <c r="AK75" i="21"/>
  <c r="AK76" i="21"/>
  <c r="AK77" i="21"/>
  <c r="AK78" i="21"/>
  <c r="AK79" i="21"/>
  <c r="AK80" i="21"/>
  <c r="AK81" i="21"/>
  <c r="AK82" i="21"/>
  <c r="AK83" i="21"/>
  <c r="AK84" i="21"/>
  <c r="AK85" i="21"/>
  <c r="AK86" i="21"/>
  <c r="AK87" i="21"/>
  <c r="AK88" i="21"/>
  <c r="AK89" i="21"/>
  <c r="AK90" i="21"/>
  <c r="AK91" i="21"/>
  <c r="AK92" i="21"/>
  <c r="AK93" i="21"/>
  <c r="AK94" i="21"/>
  <c r="AK95" i="21"/>
  <c r="AK96" i="21"/>
  <c r="AK97" i="21"/>
  <c r="AK98" i="21"/>
  <c r="AK99" i="21"/>
  <c r="AK100" i="21"/>
  <c r="AK101" i="21"/>
  <c r="AK102" i="21"/>
  <c r="AK103" i="21"/>
  <c r="AK104" i="21"/>
  <c r="AJ1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38" i="21"/>
  <c r="AC3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9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81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W10" i="21"/>
  <c r="V102" i="21"/>
  <c r="V103" i="21"/>
  <c r="V104" i="21"/>
  <c r="V52" i="21"/>
  <c r="V53" i="21"/>
  <c r="V54" i="21"/>
  <c r="V55" i="21"/>
  <c r="V56" i="21"/>
  <c r="V57" i="21"/>
  <c r="V58" i="21"/>
  <c r="V59" i="21"/>
  <c r="V60" i="21"/>
  <c r="V61" i="21"/>
  <c r="V62" i="21"/>
  <c r="V63" i="21"/>
  <c r="V64" i="21"/>
  <c r="V65" i="21"/>
  <c r="V66" i="21"/>
  <c r="V67" i="21"/>
  <c r="V68" i="21"/>
  <c r="V69" i="21"/>
  <c r="V70" i="21"/>
  <c r="V71" i="21"/>
  <c r="V72" i="21"/>
  <c r="V73" i="21"/>
  <c r="V74" i="21"/>
  <c r="V75" i="21"/>
  <c r="V76" i="21"/>
  <c r="V77" i="21"/>
  <c r="V78" i="21"/>
  <c r="V79" i="21"/>
  <c r="V80" i="21"/>
  <c r="V81" i="21"/>
  <c r="V82" i="21"/>
  <c r="V83" i="21"/>
  <c r="V84" i="21"/>
  <c r="V85" i="21"/>
  <c r="V86" i="21"/>
  <c r="V87" i="21"/>
  <c r="V88" i="21"/>
  <c r="V89" i="21"/>
  <c r="V90" i="21"/>
  <c r="V91" i="21"/>
  <c r="V92" i="21"/>
  <c r="V93" i="21"/>
  <c r="V94" i="21"/>
  <c r="V95" i="21"/>
  <c r="V96" i="21"/>
  <c r="V97" i="21"/>
  <c r="V98" i="21"/>
  <c r="V99" i="21"/>
  <c r="V100" i="21"/>
  <c r="V101" i="21"/>
  <c r="V51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T51" i="21"/>
  <c r="T52" i="21"/>
  <c r="T53" i="21"/>
  <c r="T54" i="21"/>
  <c r="T55" i="21"/>
  <c r="T56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6" i="21"/>
  <c r="T77" i="21"/>
  <c r="T78" i="21"/>
  <c r="T79" i="21"/>
  <c r="T80" i="21"/>
  <c r="T81" i="21"/>
  <c r="T82" i="21"/>
  <c r="T83" i="21"/>
  <c r="T84" i="21"/>
  <c r="T85" i="21"/>
  <c r="T86" i="21"/>
  <c r="T87" i="21"/>
  <c r="T88" i="21"/>
  <c r="T89" i="21"/>
  <c r="T90" i="21"/>
  <c r="T91" i="21"/>
  <c r="T92" i="21"/>
  <c r="T93" i="21"/>
  <c r="T94" i="21"/>
  <c r="T95" i="21"/>
  <c r="T96" i="21"/>
  <c r="T97" i="21"/>
  <c r="T98" i="21"/>
  <c r="T99" i="21"/>
  <c r="T100" i="21"/>
  <c r="T101" i="21"/>
  <c r="S13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7" i="21"/>
  <c r="R98" i="21"/>
  <c r="R99" i="21"/>
  <c r="R100" i="21"/>
  <c r="R101" i="21"/>
  <c r="R102" i="21"/>
  <c r="R103" i="21"/>
  <c r="R104" i="21"/>
  <c r="R10" i="21"/>
  <c r="Q52" i="21"/>
  <c r="Q53" i="21"/>
  <c r="Q54" i="21"/>
  <c r="Q55" i="21"/>
  <c r="Q56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81" i="21"/>
  <c r="Q82" i="21"/>
  <c r="Q83" i="21"/>
  <c r="Q84" i="21"/>
  <c r="Q85" i="21"/>
  <c r="Q86" i="21"/>
  <c r="Q87" i="21"/>
  <c r="Q88" i="21"/>
  <c r="Q89" i="21"/>
  <c r="Q90" i="21"/>
  <c r="Q91" i="21"/>
  <c r="Q92" i="21"/>
  <c r="Q93" i="21"/>
  <c r="Q94" i="21"/>
  <c r="Q95" i="21"/>
  <c r="Q96" i="21"/>
  <c r="Q97" i="21"/>
  <c r="Q98" i="21"/>
  <c r="Q99" i="21"/>
  <c r="Q100" i="21"/>
  <c r="Q101" i="21"/>
  <c r="Q102" i="21"/>
  <c r="Q103" i="21"/>
  <c r="Q104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16" i="21"/>
  <c r="D76" i="21"/>
  <c r="D77" i="21"/>
  <c r="AT77" i="21" s="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52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AT24" i="21" s="1"/>
  <c r="AU25" i="45" s="1"/>
  <c r="C25" i="21"/>
  <c r="AT25" i="21" s="1"/>
  <c r="AU26" i="45" s="1"/>
  <c r="C26" i="21"/>
  <c r="AT26" i="21" s="1"/>
  <c r="AU27" i="45" s="1"/>
  <c r="C27" i="21"/>
  <c r="AT27" i="21" s="1"/>
  <c r="AU28" i="45" s="1"/>
  <c r="C28" i="21"/>
  <c r="AT28" i="21" s="1"/>
  <c r="AU29" i="45" s="1"/>
  <c r="C29" i="21"/>
  <c r="AT29" i="21" s="1"/>
  <c r="AU30" i="45" s="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C10" i="21"/>
  <c r="B3" i="21"/>
  <c r="AT3" i="21" s="1"/>
  <c r="AU4" i="45" s="1"/>
  <c r="B4" i="21"/>
  <c r="AT4" i="21" s="1"/>
  <c r="AU5" i="45" s="1"/>
  <c r="B5" i="21"/>
  <c r="AT5" i="21" s="1"/>
  <c r="AU6" i="45" s="1"/>
  <c r="B6" i="21"/>
  <c r="AT6" i="21" s="1"/>
  <c r="AU7" i="45" s="1"/>
  <c r="B7" i="21"/>
  <c r="AT7" i="21" s="1"/>
  <c r="AU8" i="45" s="1"/>
  <c r="B8" i="21"/>
  <c r="AT8" i="21" s="1"/>
  <c r="AU9" i="45" s="1"/>
  <c r="B9" i="21"/>
  <c r="AT9" i="21" s="1"/>
  <c r="AU10" i="45" s="1"/>
  <c r="B10" i="21"/>
  <c r="AT10" i="21" s="1"/>
  <c r="AU11" i="45" s="1"/>
  <c r="B11" i="21"/>
  <c r="AT11" i="21" s="1"/>
  <c r="AU12" i="45" s="1"/>
  <c r="B12" i="21"/>
  <c r="AT12" i="21" s="1"/>
  <c r="AU13" i="45" s="1"/>
  <c r="B13" i="21"/>
  <c r="AT13" i="21" s="1"/>
  <c r="AU14" i="45" s="1"/>
  <c r="B14" i="21"/>
  <c r="AT14" i="21" s="1"/>
  <c r="AU15" i="45" s="1"/>
  <c r="B15" i="21"/>
  <c r="AT15" i="21" s="1"/>
  <c r="AU16" i="45" s="1"/>
  <c r="B16" i="21"/>
  <c r="AT16" i="21" s="1"/>
  <c r="AU17" i="45" s="1"/>
  <c r="B17" i="21"/>
  <c r="AT17" i="21" s="1"/>
  <c r="AU18" i="45" s="1"/>
  <c r="B18" i="21"/>
  <c r="AT18" i="21" s="1"/>
  <c r="AU19" i="45" s="1"/>
  <c r="B19" i="21"/>
  <c r="AT19" i="21" s="1"/>
  <c r="AU20" i="45" s="1"/>
  <c r="B20" i="21"/>
  <c r="AT20" i="21" s="1"/>
  <c r="AU21" i="45" s="1"/>
  <c r="B21" i="21"/>
  <c r="AT21" i="21" s="1"/>
  <c r="AU22" i="45" s="1"/>
  <c r="B22" i="21"/>
  <c r="AT22" i="21" s="1"/>
  <c r="AU23" i="45" s="1"/>
  <c r="B23" i="21"/>
  <c r="AT23" i="21" s="1"/>
  <c r="AU24" i="45" s="1"/>
  <c r="B30" i="21"/>
  <c r="AT30" i="21" s="1"/>
  <c r="AU31" i="45" s="1"/>
  <c r="B31" i="21"/>
  <c r="B32" i="21"/>
  <c r="B33" i="21"/>
  <c r="AT33" i="21" s="1"/>
  <c r="B34" i="21"/>
  <c r="AT34" i="21" s="1"/>
  <c r="B35" i="21"/>
  <c r="AT35" i="21" s="1"/>
  <c r="B36" i="21"/>
  <c r="B37" i="21"/>
  <c r="AT37" i="21" s="1"/>
  <c r="B38" i="21"/>
  <c r="AT38" i="21" s="1"/>
  <c r="B39" i="21"/>
  <c r="AT39" i="21" s="1"/>
  <c r="B40" i="21"/>
  <c r="B41" i="21"/>
  <c r="AT41" i="21" s="1"/>
  <c r="B42" i="21"/>
  <c r="AT42" i="21" s="1"/>
  <c r="B43" i="21"/>
  <c r="AT43" i="21" s="1"/>
  <c r="B44" i="21"/>
  <c r="B45" i="21"/>
  <c r="AT45" i="21" s="1"/>
  <c r="B46" i="21"/>
  <c r="AT46" i="21" s="1"/>
  <c r="B47" i="21"/>
  <c r="AT47" i="21" s="1"/>
  <c r="B48" i="21"/>
  <c r="B49" i="21"/>
  <c r="AT49" i="21" s="1"/>
  <c r="B50" i="21"/>
  <c r="AT50" i="21" s="1"/>
  <c r="B51" i="21"/>
  <c r="AT51" i="21" s="1"/>
  <c r="B52" i="21"/>
  <c r="B53" i="21"/>
  <c r="AT53" i="21" s="1"/>
  <c r="B54" i="21"/>
  <c r="AT54" i="21" s="1"/>
  <c r="B55" i="21"/>
  <c r="AT55" i="21" s="1"/>
  <c r="B56" i="21"/>
  <c r="B57" i="21"/>
  <c r="AT57" i="21" s="1"/>
  <c r="B58" i="21"/>
  <c r="AT58" i="21" s="1"/>
  <c r="B59" i="21"/>
  <c r="AT59" i="21" s="1"/>
  <c r="B60" i="21"/>
  <c r="B61" i="21"/>
  <c r="AT61" i="21" s="1"/>
  <c r="B62" i="21"/>
  <c r="AT62" i="21" s="1"/>
  <c r="B63" i="21"/>
  <c r="AT63" i="21" s="1"/>
  <c r="B64" i="21"/>
  <c r="B65" i="21"/>
  <c r="AT65" i="21" s="1"/>
  <c r="B66" i="21"/>
  <c r="AT66" i="21" s="1"/>
  <c r="B67" i="21"/>
  <c r="AT67" i="21" s="1"/>
  <c r="B68" i="21"/>
  <c r="B69" i="21"/>
  <c r="AT69" i="21" s="1"/>
  <c r="B70" i="21"/>
  <c r="AT70" i="21" s="1"/>
  <c r="B78" i="21"/>
  <c r="AT78" i="21" s="1"/>
  <c r="B79" i="21"/>
  <c r="AT79" i="21" s="1"/>
  <c r="B80" i="21"/>
  <c r="AT80" i="21" s="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2" i="21"/>
  <c r="AT2" i="21" s="1"/>
  <c r="AU3" i="45" s="1"/>
  <c r="D74" i="16"/>
  <c r="C74" i="16" s="1"/>
  <c r="AB82" i="45" s="1"/>
  <c r="D75" i="16"/>
  <c r="C75" i="16" s="1"/>
  <c r="AB83" i="45" s="1"/>
  <c r="D76" i="16"/>
  <c r="C76" i="16" s="1"/>
  <c r="AB84" i="45" s="1"/>
  <c r="D77" i="16"/>
  <c r="D78" i="16"/>
  <c r="C78" i="16" s="1"/>
  <c r="AB86" i="45" s="1"/>
  <c r="D79" i="16"/>
  <c r="C79" i="16" s="1"/>
  <c r="AB87" i="45" s="1"/>
  <c r="D80" i="16"/>
  <c r="C80" i="16" s="1"/>
  <c r="AB88" i="45" s="1"/>
  <c r="D81" i="16"/>
  <c r="C81" i="16" s="1"/>
  <c r="AB89" i="45" s="1"/>
  <c r="D82" i="16"/>
  <c r="C82" i="16" s="1"/>
  <c r="AB90" i="45" s="1"/>
  <c r="D83" i="16"/>
  <c r="C83" i="16" s="1"/>
  <c r="AB91" i="45" s="1"/>
  <c r="D84" i="16"/>
  <c r="C84" i="16" s="1"/>
  <c r="AB92" i="45" s="1"/>
  <c r="D85" i="16"/>
  <c r="C85" i="16" s="1"/>
  <c r="AB93" i="45" s="1"/>
  <c r="D86" i="16"/>
  <c r="C86" i="16" s="1"/>
  <c r="AB94" i="45" s="1"/>
  <c r="D87" i="16"/>
  <c r="C87" i="16" s="1"/>
  <c r="AB95" i="45" s="1"/>
  <c r="D88" i="16"/>
  <c r="C88" i="16" s="1"/>
  <c r="AB96" i="45" s="1"/>
  <c r="D89" i="16"/>
  <c r="C89" i="16" s="1"/>
  <c r="AB97" i="45" s="1"/>
  <c r="D90" i="16"/>
  <c r="C90" i="16" s="1"/>
  <c r="AB98" i="45" s="1"/>
  <c r="D91" i="16"/>
  <c r="C91" i="16" s="1"/>
  <c r="AB99" i="45" s="1"/>
  <c r="D92" i="16"/>
  <c r="C92" i="16" s="1"/>
  <c r="AB100" i="45" s="1"/>
  <c r="D93" i="16"/>
  <c r="C93" i="16" s="1"/>
  <c r="AB101" i="45" s="1"/>
  <c r="D94" i="16"/>
  <c r="C94" i="16" s="1"/>
  <c r="AB102" i="45" s="1"/>
  <c r="D95" i="16"/>
  <c r="C95" i="16" s="1"/>
  <c r="AB103" i="45" s="1"/>
  <c r="D96" i="16"/>
  <c r="C96" i="16" s="1"/>
  <c r="AB104" i="45" s="1"/>
  <c r="D97" i="16"/>
  <c r="C97" i="16" s="1"/>
  <c r="D74" i="12"/>
  <c r="C74" i="12" s="1"/>
  <c r="X82" i="45" s="1"/>
  <c r="D75" i="12"/>
  <c r="C75" i="12" s="1"/>
  <c r="D76" i="12"/>
  <c r="C76" i="12" s="1"/>
  <c r="X84" i="45" s="1"/>
  <c r="D77" i="12"/>
  <c r="C77" i="12" s="1"/>
  <c r="X85" i="45" s="1"/>
  <c r="D78" i="12"/>
  <c r="D79" i="12"/>
  <c r="C79" i="12" s="1"/>
  <c r="X87" i="45" s="1"/>
  <c r="D80" i="12"/>
  <c r="D81" i="12"/>
  <c r="C81" i="12" s="1"/>
  <c r="X89" i="45" s="1"/>
  <c r="D82" i="12"/>
  <c r="C82" i="12" s="1"/>
  <c r="X90" i="45" s="1"/>
  <c r="D83" i="12"/>
  <c r="C83" i="12" s="1"/>
  <c r="X91" i="45" s="1"/>
  <c r="D84" i="12"/>
  <c r="D85" i="12"/>
  <c r="D86" i="12"/>
  <c r="C86" i="12" s="1"/>
  <c r="X94" i="45" s="1"/>
  <c r="D87" i="12"/>
  <c r="C87" i="12" s="1"/>
  <c r="X95" i="45" s="1"/>
  <c r="D88" i="12"/>
  <c r="C88" i="12" s="1"/>
  <c r="X96" i="45" s="1"/>
  <c r="D89" i="12"/>
  <c r="C89" i="12" s="1"/>
  <c r="X97" i="45" s="1"/>
  <c r="D90" i="12"/>
  <c r="C90" i="12" s="1"/>
  <c r="X98" i="45" s="1"/>
  <c r="D91" i="12"/>
  <c r="C91" i="12" s="1"/>
  <c r="X99" i="45" s="1"/>
  <c r="D92" i="12"/>
  <c r="C92" i="12" s="1"/>
  <c r="X100" i="45" s="1"/>
  <c r="D93" i="12"/>
  <c r="C93" i="12" s="1"/>
  <c r="X101" i="45" s="1"/>
  <c r="D94" i="12"/>
  <c r="C94" i="12" s="1"/>
  <c r="X102" i="45" s="1"/>
  <c r="D95" i="12"/>
  <c r="C95" i="12" s="1"/>
  <c r="X103" i="45" s="1"/>
  <c r="D96" i="12"/>
  <c r="C96" i="12" s="1"/>
  <c r="X104" i="45" s="1"/>
  <c r="D97" i="12"/>
  <c r="C97" i="12" s="1"/>
  <c r="D24" i="14"/>
  <c r="C24" i="14" s="1"/>
  <c r="Z32" i="45" s="1"/>
  <c r="D25" i="14"/>
  <c r="C25" i="14" s="1"/>
  <c r="Z33" i="45" s="1"/>
  <c r="D26" i="14"/>
  <c r="C26" i="14" s="1"/>
  <c r="Z34" i="45" s="1"/>
  <c r="D27" i="14"/>
  <c r="C27" i="14" s="1"/>
  <c r="Z35" i="45" s="1"/>
  <c r="D28" i="14"/>
  <c r="C28" i="14" s="1"/>
  <c r="Z36" i="45" s="1"/>
  <c r="D29" i="14"/>
  <c r="C29" i="14" s="1"/>
  <c r="Z37" i="45" s="1"/>
  <c r="D30" i="14"/>
  <c r="C30" i="14" s="1"/>
  <c r="Z38" i="45" s="1"/>
  <c r="D31" i="14"/>
  <c r="C31" i="14" s="1"/>
  <c r="Z39" i="45" s="1"/>
  <c r="D32" i="14"/>
  <c r="C32" i="14" s="1"/>
  <c r="Z40" i="45" s="1"/>
  <c r="D33" i="14"/>
  <c r="C33" i="14" s="1"/>
  <c r="Z41" i="45" s="1"/>
  <c r="D34" i="14"/>
  <c r="C34" i="14" s="1"/>
  <c r="Z42" i="45" s="1"/>
  <c r="D35" i="14"/>
  <c r="C35" i="14" s="1"/>
  <c r="Z43" i="45" s="1"/>
  <c r="D36" i="14"/>
  <c r="C36" i="14" s="1"/>
  <c r="Z44" i="45" s="1"/>
  <c r="D37" i="14"/>
  <c r="C37" i="14" s="1"/>
  <c r="Z45" i="45" s="1"/>
  <c r="D38" i="14"/>
  <c r="C38" i="14" s="1"/>
  <c r="Z46" i="45" s="1"/>
  <c r="D39" i="14"/>
  <c r="C39" i="14" s="1"/>
  <c r="Z47" i="45" s="1"/>
  <c r="D40" i="14"/>
  <c r="C40" i="14" s="1"/>
  <c r="Z48" i="45" s="1"/>
  <c r="D41" i="14"/>
  <c r="C41" i="14" s="1"/>
  <c r="Z49" i="45" s="1"/>
  <c r="D42" i="14"/>
  <c r="C42" i="14" s="1"/>
  <c r="Z50" i="45" s="1"/>
  <c r="D43" i="14"/>
  <c r="C43" i="14" s="1"/>
  <c r="Z51" i="45" s="1"/>
  <c r="D44" i="14"/>
  <c r="C44" i="14" s="1"/>
  <c r="Z52" i="45" s="1"/>
  <c r="D45" i="14"/>
  <c r="C45" i="14" s="1"/>
  <c r="Z53" i="45" s="1"/>
  <c r="D46" i="14"/>
  <c r="C46" i="14" s="1"/>
  <c r="Z54" i="45" s="1"/>
  <c r="D47" i="14"/>
  <c r="C47" i="14" s="1"/>
  <c r="Z55" i="45" s="1"/>
  <c r="D48" i="14"/>
  <c r="C48" i="14" s="1"/>
  <c r="Z56" i="45" s="1"/>
  <c r="D49" i="14"/>
  <c r="C49" i="14" s="1"/>
  <c r="Z57" i="45" s="1"/>
  <c r="D50" i="14"/>
  <c r="C50" i="14" s="1"/>
  <c r="Z58" i="45" s="1"/>
  <c r="D51" i="14"/>
  <c r="C51" i="14" s="1"/>
  <c r="Z59" i="45" s="1"/>
  <c r="D52" i="14"/>
  <c r="C52" i="14" s="1"/>
  <c r="Z60" i="45" s="1"/>
  <c r="D53" i="14"/>
  <c r="C53" i="14" s="1"/>
  <c r="Z61" i="45" s="1"/>
  <c r="D54" i="14"/>
  <c r="C54" i="14" s="1"/>
  <c r="Z62" i="45" s="1"/>
  <c r="D55" i="14"/>
  <c r="C55" i="14" s="1"/>
  <c r="Z63" i="45" s="1"/>
  <c r="D56" i="14"/>
  <c r="C56" i="14" s="1"/>
  <c r="Z64" i="45" s="1"/>
  <c r="D57" i="14"/>
  <c r="C57" i="14" s="1"/>
  <c r="Z65" i="45" s="1"/>
  <c r="D58" i="14"/>
  <c r="C58" i="14" s="1"/>
  <c r="Z66" i="45" s="1"/>
  <c r="D59" i="14"/>
  <c r="C59" i="14" s="1"/>
  <c r="Z67" i="45" s="1"/>
  <c r="D60" i="14"/>
  <c r="C60" i="14" s="1"/>
  <c r="Z68" i="45" s="1"/>
  <c r="D61" i="14"/>
  <c r="C61" i="14" s="1"/>
  <c r="Z69" i="45" s="1"/>
  <c r="D62" i="14"/>
  <c r="C62" i="14" s="1"/>
  <c r="Z70" i="45" s="1"/>
  <c r="D63" i="14"/>
  <c r="C63" i="14" s="1"/>
  <c r="Z71" i="45" s="1"/>
  <c r="D70" i="14"/>
  <c r="C70" i="14" s="1"/>
  <c r="Z78" i="45" s="1"/>
  <c r="D71" i="14"/>
  <c r="C71" i="14" s="1"/>
  <c r="Z79" i="45" s="1"/>
  <c r="D72" i="14"/>
  <c r="C72" i="14" s="1"/>
  <c r="Z80" i="45" s="1"/>
  <c r="D73" i="14"/>
  <c r="C73" i="14" s="1"/>
  <c r="Z81" i="45" s="1"/>
  <c r="D74" i="14"/>
  <c r="C74" i="14" s="1"/>
  <c r="Z82" i="45" s="1"/>
  <c r="D75" i="14"/>
  <c r="C75" i="14" s="1"/>
  <c r="Z83" i="45" s="1"/>
  <c r="D76" i="14"/>
  <c r="C76" i="14" s="1"/>
  <c r="Z84" i="45" s="1"/>
  <c r="D77" i="14"/>
  <c r="C77" i="14" s="1"/>
  <c r="Z85" i="45" s="1"/>
  <c r="D78" i="14"/>
  <c r="C78" i="14" s="1"/>
  <c r="Z86" i="45" s="1"/>
  <c r="D79" i="14"/>
  <c r="C79" i="14" s="1"/>
  <c r="Z87" i="45" s="1"/>
  <c r="D80" i="14"/>
  <c r="C80" i="14" s="1"/>
  <c r="Z88" i="45" s="1"/>
  <c r="D81" i="14"/>
  <c r="C81" i="14" s="1"/>
  <c r="Z89" i="45" s="1"/>
  <c r="D82" i="14"/>
  <c r="C82" i="14" s="1"/>
  <c r="Z90" i="45" s="1"/>
  <c r="D83" i="14"/>
  <c r="C83" i="14" s="1"/>
  <c r="Z91" i="45" s="1"/>
  <c r="D84" i="14"/>
  <c r="C84" i="14" s="1"/>
  <c r="Z92" i="45" s="1"/>
  <c r="D85" i="14"/>
  <c r="C85" i="14" s="1"/>
  <c r="Z93" i="45" s="1"/>
  <c r="D86" i="14"/>
  <c r="C86" i="14" s="1"/>
  <c r="Z94" i="45" s="1"/>
  <c r="D87" i="14"/>
  <c r="C87" i="14" s="1"/>
  <c r="Z95" i="45" s="1"/>
  <c r="D88" i="14"/>
  <c r="C88" i="14" s="1"/>
  <c r="Z96" i="45" s="1"/>
  <c r="D89" i="14"/>
  <c r="C89" i="14" s="1"/>
  <c r="Z97" i="45" s="1"/>
  <c r="D90" i="14"/>
  <c r="C90" i="14" s="1"/>
  <c r="Z98" i="45" s="1"/>
  <c r="D91" i="14"/>
  <c r="C91" i="14" s="1"/>
  <c r="Z99" i="45" s="1"/>
  <c r="D92" i="14"/>
  <c r="C92" i="14" s="1"/>
  <c r="Z100" i="45" s="1"/>
  <c r="D93" i="14"/>
  <c r="C93" i="14" s="1"/>
  <c r="Z101" i="45" s="1"/>
  <c r="D94" i="14"/>
  <c r="C94" i="14" s="1"/>
  <c r="Z102" i="45" s="1"/>
  <c r="D95" i="14"/>
  <c r="C95" i="14" s="1"/>
  <c r="Z103" i="45" s="1"/>
  <c r="D96" i="14"/>
  <c r="C96" i="14" s="1"/>
  <c r="Z104" i="45" s="1"/>
  <c r="D97" i="14"/>
  <c r="C97" i="14" s="1"/>
  <c r="Z105" i="45" s="1"/>
  <c r="D23" i="14"/>
  <c r="C23" i="14" s="1"/>
  <c r="D24" i="15"/>
  <c r="C24" i="15" s="1"/>
  <c r="F24" i="15" s="1"/>
  <c r="D25" i="15"/>
  <c r="C25" i="15" s="1"/>
  <c r="G25" i="15" s="1"/>
  <c r="D26" i="15"/>
  <c r="C26" i="15" s="1"/>
  <c r="D27" i="15"/>
  <c r="C27" i="15" s="1"/>
  <c r="G27" i="15" s="1"/>
  <c r="D28" i="15"/>
  <c r="C28" i="15" s="1"/>
  <c r="F28" i="15" s="1"/>
  <c r="D29" i="15"/>
  <c r="C29" i="15" s="1"/>
  <c r="G29" i="15" s="1"/>
  <c r="D30" i="15"/>
  <c r="C30" i="15" s="1"/>
  <c r="D31" i="15"/>
  <c r="C31" i="15" s="1"/>
  <c r="G31" i="15" s="1"/>
  <c r="D32" i="15"/>
  <c r="C32" i="15" s="1"/>
  <c r="F32" i="15" s="1"/>
  <c r="D33" i="15"/>
  <c r="C33" i="15" s="1"/>
  <c r="G33" i="15" s="1"/>
  <c r="D34" i="15"/>
  <c r="C34" i="15" s="1"/>
  <c r="D35" i="15"/>
  <c r="C35" i="15" s="1"/>
  <c r="G35" i="15" s="1"/>
  <c r="D36" i="15"/>
  <c r="C36" i="15" s="1"/>
  <c r="F36" i="15" s="1"/>
  <c r="D37" i="15"/>
  <c r="C37" i="15" s="1"/>
  <c r="G37" i="15" s="1"/>
  <c r="D38" i="15"/>
  <c r="C38" i="15" s="1"/>
  <c r="D39" i="15"/>
  <c r="C39" i="15" s="1"/>
  <c r="G39" i="15" s="1"/>
  <c r="D40" i="15"/>
  <c r="C40" i="15" s="1"/>
  <c r="F40" i="15" s="1"/>
  <c r="D41" i="15"/>
  <c r="C41" i="15" s="1"/>
  <c r="G41" i="15" s="1"/>
  <c r="D42" i="15"/>
  <c r="C42" i="15" s="1"/>
  <c r="D43" i="15"/>
  <c r="C43" i="15" s="1"/>
  <c r="G43" i="15" s="1"/>
  <c r="D44" i="15"/>
  <c r="C44" i="15" s="1"/>
  <c r="F44" i="15" s="1"/>
  <c r="D45" i="15"/>
  <c r="C45" i="15" s="1"/>
  <c r="G45" i="15" s="1"/>
  <c r="D46" i="15"/>
  <c r="C46" i="15" s="1"/>
  <c r="D47" i="15"/>
  <c r="C47" i="15" s="1"/>
  <c r="G47" i="15" s="1"/>
  <c r="D48" i="15"/>
  <c r="C48" i="15" s="1"/>
  <c r="F48" i="15" s="1"/>
  <c r="D49" i="15"/>
  <c r="C49" i="15" s="1"/>
  <c r="G49" i="15" s="1"/>
  <c r="D50" i="15"/>
  <c r="C50" i="15" s="1"/>
  <c r="D51" i="15"/>
  <c r="C51" i="15" s="1"/>
  <c r="G51" i="15" s="1"/>
  <c r="D52" i="15"/>
  <c r="C52" i="15" s="1"/>
  <c r="F52" i="15" s="1"/>
  <c r="D53" i="15"/>
  <c r="C53" i="15" s="1"/>
  <c r="G53" i="15" s="1"/>
  <c r="D54" i="15"/>
  <c r="C54" i="15" s="1"/>
  <c r="D55" i="15"/>
  <c r="C55" i="15" s="1"/>
  <c r="G55" i="15" s="1"/>
  <c r="D56" i="15"/>
  <c r="C56" i="15" s="1"/>
  <c r="F56" i="15" s="1"/>
  <c r="D57" i="15"/>
  <c r="C57" i="15" s="1"/>
  <c r="G57" i="15" s="1"/>
  <c r="D58" i="15"/>
  <c r="C58" i="15" s="1"/>
  <c r="D59" i="15"/>
  <c r="C59" i="15" s="1"/>
  <c r="G59" i="15" s="1"/>
  <c r="D60" i="15"/>
  <c r="C60" i="15" s="1"/>
  <c r="F60" i="15" s="1"/>
  <c r="D61" i="15"/>
  <c r="C61" i="15" s="1"/>
  <c r="G61" i="15" s="1"/>
  <c r="D62" i="15"/>
  <c r="C62" i="15" s="1"/>
  <c r="D70" i="15"/>
  <c r="C70" i="15" s="1"/>
  <c r="D71" i="15"/>
  <c r="C71" i="15" s="1"/>
  <c r="D72" i="15"/>
  <c r="C72" i="15" s="1"/>
  <c r="D73" i="15"/>
  <c r="C73" i="15" s="1"/>
  <c r="AA81" i="45" s="1"/>
  <c r="D74" i="15"/>
  <c r="C74" i="15" s="1"/>
  <c r="AA82" i="45" s="1"/>
  <c r="D75" i="15"/>
  <c r="C75" i="15" s="1"/>
  <c r="D76" i="15"/>
  <c r="C76" i="15" s="1"/>
  <c r="AA84" i="45" s="1"/>
  <c r="D77" i="15"/>
  <c r="C77" i="15" s="1"/>
  <c r="AA85" i="45" s="1"/>
  <c r="D78" i="15"/>
  <c r="C78" i="15" s="1"/>
  <c r="D79" i="15"/>
  <c r="C79" i="15" s="1"/>
  <c r="D80" i="15"/>
  <c r="C80" i="15" s="1"/>
  <c r="AA88" i="45" s="1"/>
  <c r="D81" i="15"/>
  <c r="C81" i="15" s="1"/>
  <c r="AA89" i="45" s="1"/>
  <c r="D82" i="15"/>
  <c r="C82" i="15" s="1"/>
  <c r="AA90" i="45" s="1"/>
  <c r="D83" i="15"/>
  <c r="C83" i="15" s="1"/>
  <c r="D84" i="15"/>
  <c r="C84" i="15" s="1"/>
  <c r="AA92" i="45" s="1"/>
  <c r="D85" i="15"/>
  <c r="C85" i="15" s="1"/>
  <c r="AA93" i="45" s="1"/>
  <c r="D86" i="15"/>
  <c r="C86" i="15" s="1"/>
  <c r="D87" i="15"/>
  <c r="C87" i="15" s="1"/>
  <c r="D88" i="15"/>
  <c r="C88" i="15" s="1"/>
  <c r="AA96" i="45" s="1"/>
  <c r="D89" i="15"/>
  <c r="C89" i="15" s="1"/>
  <c r="AA97" i="45" s="1"/>
  <c r="D90" i="15"/>
  <c r="C90" i="15" s="1"/>
  <c r="AA98" i="45" s="1"/>
  <c r="D91" i="15"/>
  <c r="C91" i="15" s="1"/>
  <c r="D92" i="15"/>
  <c r="C92" i="15" s="1"/>
  <c r="AA100" i="45" s="1"/>
  <c r="D93" i="15"/>
  <c r="C93" i="15" s="1"/>
  <c r="AA101" i="45" s="1"/>
  <c r="D94" i="15"/>
  <c r="C94" i="15" s="1"/>
  <c r="AA102" i="45" s="1"/>
  <c r="D95" i="15"/>
  <c r="C95" i="15" s="1"/>
  <c r="D96" i="15"/>
  <c r="C96" i="15" s="1"/>
  <c r="AA104" i="45" s="1"/>
  <c r="D97" i="15"/>
  <c r="C97" i="15" s="1"/>
  <c r="AA105" i="45" s="1"/>
  <c r="D23" i="15"/>
  <c r="C23" i="15" s="1"/>
  <c r="D25" i="13"/>
  <c r="C25" i="13" s="1"/>
  <c r="Y33" i="45" s="1"/>
  <c r="D26" i="13"/>
  <c r="C26" i="13" s="1"/>
  <c r="Y34" i="45" s="1"/>
  <c r="D27" i="13"/>
  <c r="C27" i="13" s="1"/>
  <c r="Y35" i="45" s="1"/>
  <c r="D28" i="13"/>
  <c r="C28" i="13" s="1"/>
  <c r="D29" i="13"/>
  <c r="C29" i="13" s="1"/>
  <c r="D30" i="13"/>
  <c r="C30" i="13" s="1"/>
  <c r="Y38" i="45" s="1"/>
  <c r="D31" i="13"/>
  <c r="C31" i="13" s="1"/>
  <c r="Y39" i="45" s="1"/>
  <c r="D32" i="13"/>
  <c r="C32" i="13" s="1"/>
  <c r="D33" i="13"/>
  <c r="C33" i="13" s="1"/>
  <c r="Y41" i="45" s="1"/>
  <c r="D34" i="13"/>
  <c r="C34" i="13" s="1"/>
  <c r="Y42" i="45" s="1"/>
  <c r="D35" i="13"/>
  <c r="C35" i="13" s="1"/>
  <c r="Y43" i="45" s="1"/>
  <c r="D36" i="13"/>
  <c r="C36" i="13" s="1"/>
  <c r="D37" i="13"/>
  <c r="C37" i="13" s="1"/>
  <c r="D38" i="13"/>
  <c r="C38" i="13" s="1"/>
  <c r="Y46" i="45" s="1"/>
  <c r="D39" i="13"/>
  <c r="C39" i="13" s="1"/>
  <c r="Y47" i="45" s="1"/>
  <c r="D40" i="13"/>
  <c r="C40" i="13" s="1"/>
  <c r="D41" i="13"/>
  <c r="C41" i="13" s="1"/>
  <c r="Y49" i="45" s="1"/>
  <c r="D42" i="13"/>
  <c r="C42" i="13" s="1"/>
  <c r="Y50" i="45" s="1"/>
  <c r="D43" i="13"/>
  <c r="C43" i="13" s="1"/>
  <c r="Y51" i="45" s="1"/>
  <c r="D44" i="13"/>
  <c r="C44" i="13" s="1"/>
  <c r="D45" i="13"/>
  <c r="C45" i="13" s="1"/>
  <c r="Y53" i="45" s="1"/>
  <c r="D46" i="13"/>
  <c r="C46" i="13" s="1"/>
  <c r="Y54" i="45" s="1"/>
  <c r="D47" i="13"/>
  <c r="C47" i="13" s="1"/>
  <c r="Y55" i="45" s="1"/>
  <c r="D48" i="13"/>
  <c r="C48" i="13" s="1"/>
  <c r="D49" i="13"/>
  <c r="C49" i="13" s="1"/>
  <c r="Y57" i="45" s="1"/>
  <c r="D50" i="13"/>
  <c r="C50" i="13" s="1"/>
  <c r="Y58" i="45" s="1"/>
  <c r="D51" i="13"/>
  <c r="C51" i="13" s="1"/>
  <c r="Y59" i="45" s="1"/>
  <c r="D52" i="13"/>
  <c r="C52" i="13" s="1"/>
  <c r="D53" i="13"/>
  <c r="C53" i="13" s="1"/>
  <c r="Y61" i="45" s="1"/>
  <c r="D54" i="13"/>
  <c r="C54" i="13" s="1"/>
  <c r="Y62" i="45" s="1"/>
  <c r="D55" i="13"/>
  <c r="C55" i="13" s="1"/>
  <c r="Y63" i="45" s="1"/>
  <c r="D56" i="13"/>
  <c r="C56" i="13" s="1"/>
  <c r="D57" i="13"/>
  <c r="C57" i="13" s="1"/>
  <c r="Y65" i="45" s="1"/>
  <c r="D58" i="13"/>
  <c r="C58" i="13" s="1"/>
  <c r="Y66" i="45" s="1"/>
  <c r="D59" i="13"/>
  <c r="C59" i="13" s="1"/>
  <c r="Y67" i="45" s="1"/>
  <c r="D60" i="13"/>
  <c r="C60" i="13" s="1"/>
  <c r="D61" i="13"/>
  <c r="C61" i="13" s="1"/>
  <c r="Y69" i="45" s="1"/>
  <c r="D62" i="13"/>
  <c r="C62" i="13" s="1"/>
  <c r="Y70" i="45" s="1"/>
  <c r="D63" i="13"/>
  <c r="C63" i="13" s="1"/>
  <c r="Y71" i="45" s="1"/>
  <c r="D64" i="13"/>
  <c r="C64" i="13" s="1"/>
  <c r="Y72" i="45" s="1"/>
  <c r="D65" i="13"/>
  <c r="C65" i="13" s="1"/>
  <c r="Y73" i="45" s="1"/>
  <c r="D66" i="13"/>
  <c r="C66" i="13" s="1"/>
  <c r="Y74" i="45" s="1"/>
  <c r="D67" i="13"/>
  <c r="C67" i="13" s="1"/>
  <c r="Y75" i="45" s="1"/>
  <c r="D68" i="13"/>
  <c r="C68" i="13" s="1"/>
  <c r="Y76" i="45" s="1"/>
  <c r="D69" i="13"/>
  <c r="C69" i="13" s="1"/>
  <c r="Y77" i="45" s="1"/>
  <c r="D70" i="13"/>
  <c r="C70" i="13" s="1"/>
  <c r="Y78" i="45" s="1"/>
  <c r="D71" i="13"/>
  <c r="C71" i="13" s="1"/>
  <c r="Y79" i="45" s="1"/>
  <c r="D72" i="13"/>
  <c r="C72" i="13" s="1"/>
  <c r="D73" i="13"/>
  <c r="C73" i="13" s="1"/>
  <c r="Y81" i="45" s="1"/>
  <c r="D74" i="13"/>
  <c r="C74" i="13" s="1"/>
  <c r="Y82" i="45" s="1"/>
  <c r="D75" i="13"/>
  <c r="C75" i="13" s="1"/>
  <c r="Y83" i="45" s="1"/>
  <c r="D76" i="13"/>
  <c r="C76" i="13" s="1"/>
  <c r="D77" i="13"/>
  <c r="C77" i="13" s="1"/>
  <c r="Y85" i="45" s="1"/>
  <c r="D78" i="13"/>
  <c r="C78" i="13" s="1"/>
  <c r="Y86" i="45" s="1"/>
  <c r="D79" i="13"/>
  <c r="C79" i="13" s="1"/>
  <c r="Y87" i="45" s="1"/>
  <c r="D80" i="13"/>
  <c r="C80" i="13" s="1"/>
  <c r="D81" i="13"/>
  <c r="C81" i="13" s="1"/>
  <c r="Y89" i="45" s="1"/>
  <c r="D82" i="13"/>
  <c r="C82" i="13" s="1"/>
  <c r="Y90" i="45" s="1"/>
  <c r="D83" i="13"/>
  <c r="C83" i="13" s="1"/>
  <c r="Y91" i="45" s="1"/>
  <c r="D84" i="13"/>
  <c r="C84" i="13" s="1"/>
  <c r="D85" i="13"/>
  <c r="C85" i="13" s="1"/>
  <c r="Y93" i="45" s="1"/>
  <c r="D86" i="13"/>
  <c r="C86" i="13" s="1"/>
  <c r="Y94" i="45" s="1"/>
  <c r="D87" i="13"/>
  <c r="C87" i="13" s="1"/>
  <c r="Y95" i="45" s="1"/>
  <c r="D88" i="13"/>
  <c r="C88" i="13" s="1"/>
  <c r="D89" i="13"/>
  <c r="C89" i="13" s="1"/>
  <c r="Y97" i="45" s="1"/>
  <c r="D90" i="13"/>
  <c r="C90" i="13" s="1"/>
  <c r="Y98" i="45" s="1"/>
  <c r="D91" i="13"/>
  <c r="C91" i="13" s="1"/>
  <c r="Y99" i="45" s="1"/>
  <c r="D92" i="13"/>
  <c r="C92" i="13" s="1"/>
  <c r="D93" i="13"/>
  <c r="C93" i="13" s="1"/>
  <c r="Y101" i="45" s="1"/>
  <c r="D94" i="13"/>
  <c r="C94" i="13" s="1"/>
  <c r="Y102" i="45" s="1"/>
  <c r="D95" i="13"/>
  <c r="C95" i="13" s="1"/>
  <c r="Y103" i="45" s="1"/>
  <c r="D96" i="13"/>
  <c r="C96" i="13" s="1"/>
  <c r="D97" i="13"/>
  <c r="C97" i="13" s="1"/>
  <c r="Y105" i="45" s="1"/>
  <c r="D24" i="13"/>
  <c r="C24" i="13" s="1"/>
  <c r="D23" i="13"/>
  <c r="C23" i="13" s="1"/>
  <c r="C77" i="16"/>
  <c r="AB85" i="45" s="1"/>
  <c r="D4" i="16"/>
  <c r="C4" i="16" s="1"/>
  <c r="D5" i="16"/>
  <c r="C5" i="16" s="1"/>
  <c r="G5" i="16" s="1"/>
  <c r="D6" i="16"/>
  <c r="C6" i="16" s="1"/>
  <c r="D7" i="16"/>
  <c r="C7" i="16" s="1"/>
  <c r="G7" i="16" s="1"/>
  <c r="D8" i="16"/>
  <c r="C8" i="16" s="1"/>
  <c r="D9" i="16"/>
  <c r="C9" i="16" s="1"/>
  <c r="G9" i="16" s="1"/>
  <c r="D10" i="16"/>
  <c r="C10" i="16" s="1"/>
  <c r="D11" i="16"/>
  <c r="C11" i="16" s="1"/>
  <c r="G11" i="16" s="1"/>
  <c r="D12" i="16"/>
  <c r="C12" i="16" s="1"/>
  <c r="D13" i="16"/>
  <c r="C13" i="16" s="1"/>
  <c r="G13" i="16" s="1"/>
  <c r="D14" i="16"/>
  <c r="C14" i="16" s="1"/>
  <c r="D15" i="16"/>
  <c r="C15" i="16" s="1"/>
  <c r="G15" i="16" s="1"/>
  <c r="D16" i="16"/>
  <c r="C16" i="16" s="1"/>
  <c r="D17" i="16"/>
  <c r="C17" i="16" s="1"/>
  <c r="G17" i="16" s="1"/>
  <c r="D18" i="16"/>
  <c r="C18" i="16" s="1"/>
  <c r="D19" i="16"/>
  <c r="C19" i="16" s="1"/>
  <c r="G19" i="16" s="1"/>
  <c r="D20" i="16"/>
  <c r="C20" i="16" s="1"/>
  <c r="D21" i="16"/>
  <c r="C21" i="16" s="1"/>
  <c r="G21" i="16" s="1"/>
  <c r="D22" i="16"/>
  <c r="C22" i="16" s="1"/>
  <c r="D23" i="16"/>
  <c r="C23" i="16" s="1"/>
  <c r="G23" i="16" s="1"/>
  <c r="D24" i="16"/>
  <c r="C24" i="16" s="1"/>
  <c r="D25" i="16"/>
  <c r="C25" i="16" s="1"/>
  <c r="G25" i="16" s="1"/>
  <c r="D26" i="16"/>
  <c r="C26" i="16" s="1"/>
  <c r="D27" i="16"/>
  <c r="C27" i="16" s="1"/>
  <c r="G27" i="16" s="1"/>
  <c r="D28" i="16"/>
  <c r="C28" i="16" s="1"/>
  <c r="D29" i="16"/>
  <c r="C29" i="16" s="1"/>
  <c r="G29" i="16" s="1"/>
  <c r="D30" i="16"/>
  <c r="C30" i="16" s="1"/>
  <c r="D31" i="16"/>
  <c r="C31" i="16" s="1"/>
  <c r="G31" i="16" s="1"/>
  <c r="D32" i="16"/>
  <c r="C32" i="16" s="1"/>
  <c r="D33" i="16"/>
  <c r="C33" i="16" s="1"/>
  <c r="G33" i="16" s="1"/>
  <c r="D34" i="16"/>
  <c r="C34" i="16" s="1"/>
  <c r="D35" i="16"/>
  <c r="C35" i="16" s="1"/>
  <c r="G35" i="16" s="1"/>
  <c r="D36" i="16"/>
  <c r="C36" i="16" s="1"/>
  <c r="D37" i="16"/>
  <c r="C37" i="16" s="1"/>
  <c r="G37" i="16" s="1"/>
  <c r="D38" i="16"/>
  <c r="C38" i="16" s="1"/>
  <c r="D39" i="16"/>
  <c r="C39" i="16" s="1"/>
  <c r="G39" i="16" s="1"/>
  <c r="D40" i="16"/>
  <c r="C40" i="16" s="1"/>
  <c r="D41" i="16"/>
  <c r="C41" i="16" s="1"/>
  <c r="G41" i="16" s="1"/>
  <c r="D42" i="16"/>
  <c r="C42" i="16" s="1"/>
  <c r="D43" i="16"/>
  <c r="C43" i="16" s="1"/>
  <c r="G43" i="16" s="1"/>
  <c r="D44" i="16"/>
  <c r="C44" i="16" s="1"/>
  <c r="D45" i="16"/>
  <c r="C45" i="16" s="1"/>
  <c r="G45" i="16" s="1"/>
  <c r="D46" i="16"/>
  <c r="C46" i="16" s="1"/>
  <c r="D47" i="16"/>
  <c r="C47" i="16" s="1"/>
  <c r="G47" i="16" s="1"/>
  <c r="D48" i="16"/>
  <c r="C48" i="16" s="1"/>
  <c r="D49" i="16"/>
  <c r="C49" i="16" s="1"/>
  <c r="G49" i="16" s="1"/>
  <c r="D50" i="16"/>
  <c r="C50" i="16" s="1"/>
  <c r="D51" i="16"/>
  <c r="C51" i="16" s="1"/>
  <c r="G51" i="16" s="1"/>
  <c r="D52" i="16"/>
  <c r="C52" i="16" s="1"/>
  <c r="D53" i="16"/>
  <c r="C53" i="16" s="1"/>
  <c r="G53" i="16" s="1"/>
  <c r="D54" i="16"/>
  <c r="C54" i="16" s="1"/>
  <c r="D55" i="16"/>
  <c r="C55" i="16" s="1"/>
  <c r="G55" i="16" s="1"/>
  <c r="D56" i="16"/>
  <c r="C56" i="16" s="1"/>
  <c r="D57" i="16"/>
  <c r="C57" i="16" s="1"/>
  <c r="G57" i="16" s="1"/>
  <c r="D58" i="16"/>
  <c r="C58" i="16" s="1"/>
  <c r="D59" i="16"/>
  <c r="C59" i="16" s="1"/>
  <c r="G59" i="16" s="1"/>
  <c r="D60" i="16"/>
  <c r="C60" i="16" s="1"/>
  <c r="D61" i="16"/>
  <c r="C61" i="16" s="1"/>
  <c r="G61" i="16" s="1"/>
  <c r="D62" i="16"/>
  <c r="C62" i="16" s="1"/>
  <c r="D70" i="16"/>
  <c r="C70" i="16" s="1"/>
  <c r="D71" i="16"/>
  <c r="C71" i="16" s="1"/>
  <c r="D72" i="16"/>
  <c r="C72" i="16" s="1"/>
  <c r="D73" i="16"/>
  <c r="D3" i="16"/>
  <c r="C3" i="16" s="1"/>
  <c r="F3" i="16" s="1"/>
  <c r="C78" i="12"/>
  <c r="X86" i="45" s="1"/>
  <c r="C80" i="12"/>
  <c r="X88" i="45" s="1"/>
  <c r="C84" i="12"/>
  <c r="X92" i="45" s="1"/>
  <c r="C85" i="12"/>
  <c r="X93" i="45" s="1"/>
  <c r="D4" i="12"/>
  <c r="C4" i="12" s="1"/>
  <c r="W12" i="45" s="1"/>
  <c r="D5" i="12"/>
  <c r="C5" i="12" s="1"/>
  <c r="W13" i="45" s="1"/>
  <c r="D6" i="12"/>
  <c r="C6" i="12" s="1"/>
  <c r="W14" i="45" s="1"/>
  <c r="D7" i="12"/>
  <c r="C7" i="12" s="1"/>
  <c r="W15" i="45" s="1"/>
  <c r="D8" i="12"/>
  <c r="C8" i="12" s="1"/>
  <c r="W16" i="45" s="1"/>
  <c r="D9" i="12"/>
  <c r="C9" i="12" s="1"/>
  <c r="W17" i="45" s="1"/>
  <c r="D10" i="12"/>
  <c r="C10" i="12" s="1"/>
  <c r="W18" i="45" s="1"/>
  <c r="D11" i="12"/>
  <c r="C11" i="12" s="1"/>
  <c r="W19" i="45" s="1"/>
  <c r="D12" i="12"/>
  <c r="C12" i="12" s="1"/>
  <c r="W20" i="45" s="1"/>
  <c r="D13" i="12"/>
  <c r="C13" i="12" s="1"/>
  <c r="W21" i="45" s="1"/>
  <c r="D14" i="12"/>
  <c r="C14" i="12" s="1"/>
  <c r="W22" i="45" s="1"/>
  <c r="D15" i="12"/>
  <c r="C15" i="12" s="1"/>
  <c r="W23" i="45" s="1"/>
  <c r="D16" i="12"/>
  <c r="C16" i="12" s="1"/>
  <c r="W24" i="45" s="1"/>
  <c r="D17" i="12"/>
  <c r="C17" i="12" s="1"/>
  <c r="W25" i="45" s="1"/>
  <c r="D18" i="12"/>
  <c r="C18" i="12" s="1"/>
  <c r="W26" i="45" s="1"/>
  <c r="D19" i="12"/>
  <c r="C19" i="12" s="1"/>
  <c r="W27" i="45" s="1"/>
  <c r="D20" i="12"/>
  <c r="C20" i="12" s="1"/>
  <c r="W28" i="45" s="1"/>
  <c r="D21" i="12"/>
  <c r="C21" i="12" s="1"/>
  <c r="W29" i="45" s="1"/>
  <c r="D22" i="12"/>
  <c r="C22" i="12" s="1"/>
  <c r="W30" i="45" s="1"/>
  <c r="D23" i="12"/>
  <c r="C23" i="12" s="1"/>
  <c r="D24" i="12"/>
  <c r="C24" i="12" s="1"/>
  <c r="D25" i="12"/>
  <c r="C25" i="12" s="1"/>
  <c r="X33" i="45" s="1"/>
  <c r="D26" i="12"/>
  <c r="C26" i="12" s="1"/>
  <c r="X34" i="45" s="1"/>
  <c r="D27" i="12"/>
  <c r="C27" i="12" s="1"/>
  <c r="X35" i="45" s="1"/>
  <c r="D28" i="12"/>
  <c r="C28" i="12" s="1"/>
  <c r="X36" i="45" s="1"/>
  <c r="D29" i="12"/>
  <c r="C29" i="12" s="1"/>
  <c r="X37" i="45" s="1"/>
  <c r="D30" i="12"/>
  <c r="C30" i="12" s="1"/>
  <c r="X38" i="45" s="1"/>
  <c r="D31" i="12"/>
  <c r="C31" i="12" s="1"/>
  <c r="X39" i="45" s="1"/>
  <c r="D32" i="12"/>
  <c r="C32" i="12" s="1"/>
  <c r="X40" i="45" s="1"/>
  <c r="D33" i="12"/>
  <c r="C33" i="12" s="1"/>
  <c r="X41" i="45" s="1"/>
  <c r="D34" i="12"/>
  <c r="C34" i="12" s="1"/>
  <c r="X42" i="45" s="1"/>
  <c r="D35" i="12"/>
  <c r="C35" i="12" s="1"/>
  <c r="X43" i="45" s="1"/>
  <c r="D36" i="12"/>
  <c r="C36" i="12" s="1"/>
  <c r="X44" i="45" s="1"/>
  <c r="D37" i="12"/>
  <c r="C37" i="12" s="1"/>
  <c r="X45" i="45" s="1"/>
  <c r="D38" i="12"/>
  <c r="C38" i="12" s="1"/>
  <c r="X46" i="45" s="1"/>
  <c r="D39" i="12"/>
  <c r="C39" i="12" s="1"/>
  <c r="X47" i="45" s="1"/>
  <c r="D40" i="12"/>
  <c r="C40" i="12" s="1"/>
  <c r="X48" i="45" s="1"/>
  <c r="D41" i="12"/>
  <c r="C41" i="12" s="1"/>
  <c r="X49" i="45" s="1"/>
  <c r="D42" i="12"/>
  <c r="C42" i="12" s="1"/>
  <c r="X50" i="45" s="1"/>
  <c r="D43" i="12"/>
  <c r="C43" i="12" s="1"/>
  <c r="X51" i="45" s="1"/>
  <c r="D44" i="12"/>
  <c r="C44" i="12" s="1"/>
  <c r="X52" i="45" s="1"/>
  <c r="D45" i="12"/>
  <c r="C45" i="12" s="1"/>
  <c r="X53" i="45" s="1"/>
  <c r="D46" i="12"/>
  <c r="C46" i="12" s="1"/>
  <c r="X54" i="45" s="1"/>
  <c r="D47" i="12"/>
  <c r="C47" i="12" s="1"/>
  <c r="X55" i="45" s="1"/>
  <c r="D48" i="12"/>
  <c r="C48" i="12" s="1"/>
  <c r="X56" i="45" s="1"/>
  <c r="D49" i="12"/>
  <c r="C49" i="12" s="1"/>
  <c r="X57" i="45" s="1"/>
  <c r="D50" i="12"/>
  <c r="C50" i="12" s="1"/>
  <c r="X58" i="45" s="1"/>
  <c r="D51" i="12"/>
  <c r="C51" i="12" s="1"/>
  <c r="X59" i="45" s="1"/>
  <c r="D52" i="12"/>
  <c r="C52" i="12" s="1"/>
  <c r="X60" i="45" s="1"/>
  <c r="D53" i="12"/>
  <c r="C53" i="12" s="1"/>
  <c r="X61" i="45" s="1"/>
  <c r="D54" i="12"/>
  <c r="C54" i="12" s="1"/>
  <c r="X62" i="45" s="1"/>
  <c r="D55" i="12"/>
  <c r="C55" i="12" s="1"/>
  <c r="X63" i="45" s="1"/>
  <c r="D56" i="12"/>
  <c r="C56" i="12" s="1"/>
  <c r="X64" i="45" s="1"/>
  <c r="D57" i="12"/>
  <c r="C57" i="12" s="1"/>
  <c r="X65" i="45" s="1"/>
  <c r="D58" i="12"/>
  <c r="C58" i="12" s="1"/>
  <c r="X66" i="45" s="1"/>
  <c r="D59" i="12"/>
  <c r="C59" i="12" s="1"/>
  <c r="X67" i="45" s="1"/>
  <c r="D60" i="12"/>
  <c r="C60" i="12" s="1"/>
  <c r="X68" i="45" s="1"/>
  <c r="D61" i="12"/>
  <c r="C61" i="12" s="1"/>
  <c r="X69" i="45" s="1"/>
  <c r="D62" i="12"/>
  <c r="C62" i="12" s="1"/>
  <c r="X70" i="45" s="1"/>
  <c r="D63" i="12"/>
  <c r="C63" i="12" s="1"/>
  <c r="X71" i="45" s="1"/>
  <c r="D64" i="12"/>
  <c r="C64" i="12" s="1"/>
  <c r="X72" i="45" s="1"/>
  <c r="D65" i="12"/>
  <c r="C65" i="12" s="1"/>
  <c r="X73" i="45" s="1"/>
  <c r="D66" i="12"/>
  <c r="C66" i="12" s="1"/>
  <c r="X74" i="45" s="1"/>
  <c r="D67" i="12"/>
  <c r="C67" i="12" s="1"/>
  <c r="X75" i="45" s="1"/>
  <c r="D68" i="12"/>
  <c r="C68" i="12" s="1"/>
  <c r="X76" i="45" s="1"/>
  <c r="D69" i="12"/>
  <c r="C69" i="12" s="1"/>
  <c r="X77" i="45" s="1"/>
  <c r="D70" i="12"/>
  <c r="C70" i="12" s="1"/>
  <c r="X78" i="45" s="1"/>
  <c r="D71" i="12"/>
  <c r="C71" i="12" s="1"/>
  <c r="X79" i="45" s="1"/>
  <c r="D72" i="12"/>
  <c r="C72" i="12" s="1"/>
  <c r="X80" i="45" s="1"/>
  <c r="D73" i="12"/>
  <c r="X81" i="45" s="1"/>
  <c r="W11" i="45"/>
  <c r="D4" i="17"/>
  <c r="C4" i="17" s="1"/>
  <c r="D5" i="17"/>
  <c r="C5" i="17" s="1"/>
  <c r="AC12" i="45" s="1"/>
  <c r="D6" i="17"/>
  <c r="C6" i="17" s="1"/>
  <c r="AC13" i="45" s="1"/>
  <c r="D13" i="17"/>
  <c r="C13" i="17" s="1"/>
  <c r="AC20" i="45" s="1"/>
  <c r="D14" i="17"/>
  <c r="C14" i="17" s="1"/>
  <c r="AC21" i="45" s="1"/>
  <c r="D15" i="17"/>
  <c r="C15" i="17" s="1"/>
  <c r="AC22" i="45" s="1"/>
  <c r="D16" i="17"/>
  <c r="C16" i="17" s="1"/>
  <c r="AC23" i="45" s="1"/>
  <c r="D17" i="17"/>
  <c r="C17" i="17" s="1"/>
  <c r="AC24" i="45" s="1"/>
  <c r="D18" i="17"/>
  <c r="C18" i="17" s="1"/>
  <c r="AC25" i="45" s="1"/>
  <c r="D19" i="17"/>
  <c r="C19" i="17" s="1"/>
  <c r="AC26" i="45" s="1"/>
  <c r="D20" i="17"/>
  <c r="C20" i="17" s="1"/>
  <c r="AC27" i="45" s="1"/>
  <c r="D21" i="17"/>
  <c r="C21" i="17" s="1"/>
  <c r="AC28" i="45" s="1"/>
  <c r="D22" i="17"/>
  <c r="C22" i="17" s="1"/>
  <c r="D23" i="17"/>
  <c r="C23" i="17" s="1"/>
  <c r="AC30" i="45" s="1"/>
  <c r="D24" i="17"/>
  <c r="C24" i="17" s="1"/>
  <c r="AC31" i="45" s="1"/>
  <c r="D25" i="17"/>
  <c r="C25" i="17" s="1"/>
  <c r="AC32" i="45" s="1"/>
  <c r="D26" i="17"/>
  <c r="C26" i="17" s="1"/>
  <c r="D27" i="17"/>
  <c r="C27" i="17" s="1"/>
  <c r="AC34" i="45" s="1"/>
  <c r="D28" i="17"/>
  <c r="C28" i="17" s="1"/>
  <c r="AC35" i="45" s="1"/>
  <c r="D29" i="17"/>
  <c r="C29" i="17" s="1"/>
  <c r="AC36" i="45" s="1"/>
  <c r="D30" i="17"/>
  <c r="C30" i="17" s="1"/>
  <c r="AC37" i="45" s="1"/>
  <c r="D31" i="17"/>
  <c r="C31" i="17" s="1"/>
  <c r="AC38" i="45" s="1"/>
  <c r="D32" i="17"/>
  <c r="C32" i="17" s="1"/>
  <c r="AC39" i="45" s="1"/>
  <c r="D33" i="17"/>
  <c r="C33" i="17" s="1"/>
  <c r="AC40" i="45" s="1"/>
  <c r="D34" i="17"/>
  <c r="C34" i="17" s="1"/>
  <c r="AC41" i="45" s="1"/>
  <c r="D35" i="17"/>
  <c r="C35" i="17" s="1"/>
  <c r="AC42" i="45" s="1"/>
  <c r="D36" i="17"/>
  <c r="C36" i="17" s="1"/>
  <c r="AC43" i="45" s="1"/>
  <c r="D37" i="17"/>
  <c r="C37" i="17" s="1"/>
  <c r="AC44" i="45" s="1"/>
  <c r="D38" i="17"/>
  <c r="C38" i="17" s="1"/>
  <c r="D39" i="17"/>
  <c r="C39" i="17" s="1"/>
  <c r="AC46" i="45" s="1"/>
  <c r="D40" i="17"/>
  <c r="C40" i="17" s="1"/>
  <c r="AC47" i="45" s="1"/>
  <c r="D41" i="17"/>
  <c r="C41" i="17" s="1"/>
  <c r="AC48" i="45" s="1"/>
  <c r="D42" i="17"/>
  <c r="C42" i="17" s="1"/>
  <c r="D43" i="17"/>
  <c r="C43" i="17" s="1"/>
  <c r="AC50" i="45" s="1"/>
  <c r="D44" i="17"/>
  <c r="C44" i="17" s="1"/>
  <c r="AC51" i="45" s="1"/>
  <c r="D45" i="17"/>
  <c r="C45" i="17" s="1"/>
  <c r="AC52" i="45" s="1"/>
  <c r="D46" i="17"/>
  <c r="C46" i="17" s="1"/>
  <c r="AC53" i="45" s="1"/>
  <c r="D47" i="17"/>
  <c r="C47" i="17" s="1"/>
  <c r="AC54" i="45" s="1"/>
  <c r="D48" i="17"/>
  <c r="C48" i="17" s="1"/>
  <c r="AC55" i="45" s="1"/>
  <c r="D49" i="17"/>
  <c r="C49" i="17" s="1"/>
  <c r="AC56" i="45" s="1"/>
  <c r="D50" i="17"/>
  <c r="C50" i="17" s="1"/>
  <c r="AC57" i="45" s="1"/>
  <c r="D51" i="17"/>
  <c r="C51" i="17" s="1"/>
  <c r="AC58" i="45" s="1"/>
  <c r="D52" i="17"/>
  <c r="C52" i="17" s="1"/>
  <c r="AC59" i="45" s="1"/>
  <c r="D53" i="17"/>
  <c r="C53" i="17" s="1"/>
  <c r="AC60" i="45" s="1"/>
  <c r="D54" i="17"/>
  <c r="C54" i="17" s="1"/>
  <c r="D55" i="17"/>
  <c r="C55" i="17" s="1"/>
  <c r="AC62" i="45" s="1"/>
  <c r="D56" i="17"/>
  <c r="C56" i="17" s="1"/>
  <c r="AC63" i="45" s="1"/>
  <c r="D57" i="17"/>
  <c r="C57" i="17" s="1"/>
  <c r="AC64" i="45" s="1"/>
  <c r="D58" i="17"/>
  <c r="C58" i="17" s="1"/>
  <c r="D59" i="17"/>
  <c r="C59" i="17" s="1"/>
  <c r="AC66" i="45" s="1"/>
  <c r="D60" i="17"/>
  <c r="C60" i="17" s="1"/>
  <c r="AC67" i="45" s="1"/>
  <c r="D61" i="17"/>
  <c r="C61" i="17" s="1"/>
  <c r="AC68" i="45" s="1"/>
  <c r="D62" i="17"/>
  <c r="C62" i="17" s="1"/>
  <c r="AC69" i="45" s="1"/>
  <c r="D63" i="17"/>
  <c r="C63" i="17" s="1"/>
  <c r="AC70" i="45" s="1"/>
  <c r="D64" i="17"/>
  <c r="C64" i="17" s="1"/>
  <c r="AC71" i="45" s="1"/>
  <c r="D65" i="17"/>
  <c r="C65" i="17" s="1"/>
  <c r="AC72" i="45" s="1"/>
  <c r="D66" i="17"/>
  <c r="C66" i="17" s="1"/>
  <c r="AC73" i="45" s="1"/>
  <c r="D67" i="17"/>
  <c r="C67" i="17" s="1"/>
  <c r="D68" i="17"/>
  <c r="C68" i="17" s="1"/>
  <c r="AC75" i="45" s="1"/>
  <c r="D69" i="17"/>
  <c r="C69" i="17" s="1"/>
  <c r="AC76" i="45" s="1"/>
  <c r="D70" i="17"/>
  <c r="C70" i="17" s="1"/>
  <c r="D71" i="17"/>
  <c r="C71" i="17" s="1"/>
  <c r="AC78" i="45" s="1"/>
  <c r="D72" i="17"/>
  <c r="C72" i="17" s="1"/>
  <c r="AC79" i="45" s="1"/>
  <c r="D73" i="17"/>
  <c r="C73" i="17" s="1"/>
  <c r="AC80" i="45" s="1"/>
  <c r="D74" i="17"/>
  <c r="C74" i="17" s="1"/>
  <c r="AC81" i="45" s="1"/>
  <c r="D75" i="17"/>
  <c r="C75" i="17" s="1"/>
  <c r="AC82" i="45" s="1"/>
  <c r="D76" i="17"/>
  <c r="C76" i="17" s="1"/>
  <c r="AC83" i="45" s="1"/>
  <c r="D77" i="17"/>
  <c r="C77" i="17" s="1"/>
  <c r="D78" i="17"/>
  <c r="C78" i="17" s="1"/>
  <c r="AC85" i="45" s="1"/>
  <c r="D79" i="17"/>
  <c r="C79" i="17" s="1"/>
  <c r="AC86" i="45" s="1"/>
  <c r="D80" i="17"/>
  <c r="C80" i="17" s="1"/>
  <c r="AC87" i="45" s="1"/>
  <c r="D81" i="17"/>
  <c r="C81" i="17" s="1"/>
  <c r="AC88" i="45" s="1"/>
  <c r="D82" i="17"/>
  <c r="C82" i="17" s="1"/>
  <c r="AC89" i="45" s="1"/>
  <c r="D83" i="17"/>
  <c r="C83" i="17" s="1"/>
  <c r="AC90" i="45" s="1"/>
  <c r="D84" i="17"/>
  <c r="C84" i="17" s="1"/>
  <c r="AC91" i="45" s="1"/>
  <c r="D85" i="17"/>
  <c r="C85" i="17" s="1"/>
  <c r="D86" i="17"/>
  <c r="C86" i="17" s="1"/>
  <c r="AC93" i="45" s="1"/>
  <c r="D87" i="17"/>
  <c r="C87" i="17" s="1"/>
  <c r="AC94" i="45" s="1"/>
  <c r="D88" i="17"/>
  <c r="C88" i="17" s="1"/>
  <c r="AC95" i="45" s="1"/>
  <c r="D89" i="17"/>
  <c r="C89" i="17" s="1"/>
  <c r="AC96" i="45" s="1"/>
  <c r="D90" i="17"/>
  <c r="C90" i="17" s="1"/>
  <c r="AC97" i="45" s="1"/>
  <c r="D91" i="17"/>
  <c r="C91" i="17" s="1"/>
  <c r="AC98" i="45" s="1"/>
  <c r="D92" i="17"/>
  <c r="C92" i="17" s="1"/>
  <c r="AC99" i="45" s="1"/>
  <c r="D93" i="17"/>
  <c r="C93" i="17" s="1"/>
  <c r="D94" i="17"/>
  <c r="C94" i="17" s="1"/>
  <c r="AC101" i="45" s="1"/>
  <c r="D95" i="17"/>
  <c r="C95" i="17" s="1"/>
  <c r="AC102" i="45" s="1"/>
  <c r="D96" i="17"/>
  <c r="C96" i="17" s="1"/>
  <c r="AC103" i="45" s="1"/>
  <c r="D97" i="17"/>
  <c r="C97" i="17" s="1"/>
  <c r="D98" i="17"/>
  <c r="C98" i="17" s="1"/>
  <c r="AC105" i="45" s="1"/>
  <c r="D3" i="17"/>
  <c r="C3" i="17" s="1"/>
  <c r="AC10" i="45" s="1"/>
  <c r="D4" i="20"/>
  <c r="C4" i="20" s="1"/>
  <c r="G4" i="20" s="1"/>
  <c r="D5" i="20"/>
  <c r="C5" i="20" s="1"/>
  <c r="D6" i="20"/>
  <c r="C6" i="20" s="1"/>
  <c r="F6" i="20" s="1"/>
  <c r="D7" i="20"/>
  <c r="C7" i="20" s="1"/>
  <c r="D8" i="20"/>
  <c r="C8" i="20" s="1"/>
  <c r="G8" i="20" s="1"/>
  <c r="D9" i="20"/>
  <c r="C9" i="20" s="1"/>
  <c r="D10" i="20"/>
  <c r="C10" i="20" s="1"/>
  <c r="G10" i="20" s="1"/>
  <c r="D11" i="20"/>
  <c r="C11" i="20" s="1"/>
  <c r="D12" i="20"/>
  <c r="C12" i="20" s="1"/>
  <c r="G12" i="20" s="1"/>
  <c r="D13" i="20"/>
  <c r="C13" i="20" s="1"/>
  <c r="D14" i="20"/>
  <c r="C14" i="20" s="1"/>
  <c r="D15" i="20"/>
  <c r="C15" i="20" s="1"/>
  <c r="D16" i="20"/>
  <c r="C16" i="20" s="1"/>
  <c r="D17" i="20"/>
  <c r="C17" i="20" s="1"/>
  <c r="D18" i="20"/>
  <c r="C18" i="20" s="1"/>
  <c r="D19" i="20"/>
  <c r="C19" i="20" s="1"/>
  <c r="D20" i="20"/>
  <c r="C20" i="20" s="1"/>
  <c r="D21" i="20"/>
  <c r="C21" i="20" s="1"/>
  <c r="D22" i="20"/>
  <c r="C22" i="20" s="1"/>
  <c r="D23" i="20"/>
  <c r="C23" i="20" s="1"/>
  <c r="D24" i="20"/>
  <c r="C24" i="20" s="1"/>
  <c r="D25" i="20"/>
  <c r="C25" i="20" s="1"/>
  <c r="D26" i="20"/>
  <c r="C26" i="20" s="1"/>
  <c r="D27" i="20"/>
  <c r="C27" i="20" s="1"/>
  <c r="D28" i="20"/>
  <c r="C28" i="20" s="1"/>
  <c r="D29" i="20"/>
  <c r="C29" i="20" s="1"/>
  <c r="D30" i="20"/>
  <c r="C30" i="20" s="1"/>
  <c r="D31" i="20"/>
  <c r="C31" i="20" s="1"/>
  <c r="D32" i="20"/>
  <c r="C32" i="20" s="1"/>
  <c r="D33" i="20"/>
  <c r="C33" i="20" s="1"/>
  <c r="D34" i="20"/>
  <c r="C34" i="20" s="1"/>
  <c r="D35" i="20"/>
  <c r="C35" i="20" s="1"/>
  <c r="D36" i="20"/>
  <c r="C36" i="20" s="1"/>
  <c r="D37" i="20"/>
  <c r="C37" i="20" s="1"/>
  <c r="D38" i="20"/>
  <c r="C38" i="20" s="1"/>
  <c r="D39" i="20"/>
  <c r="C39" i="20" s="1"/>
  <c r="D40" i="20"/>
  <c r="C40" i="20" s="1"/>
  <c r="D41" i="20"/>
  <c r="C41" i="20" s="1"/>
  <c r="D42" i="20"/>
  <c r="C42" i="20" s="1"/>
  <c r="D43" i="20"/>
  <c r="C43" i="20" s="1"/>
  <c r="D44" i="20"/>
  <c r="C44" i="20" s="1"/>
  <c r="D45" i="20"/>
  <c r="C45" i="20" s="1"/>
  <c r="D46" i="20"/>
  <c r="C46" i="20" s="1"/>
  <c r="D47" i="20"/>
  <c r="C47" i="20" s="1"/>
  <c r="D48" i="20"/>
  <c r="C48" i="20" s="1"/>
  <c r="D49" i="20"/>
  <c r="C49" i="20" s="1"/>
  <c r="D50" i="20"/>
  <c r="C50" i="20" s="1"/>
  <c r="D51" i="20"/>
  <c r="C51" i="20" s="1"/>
  <c r="D52" i="20"/>
  <c r="C52" i="20" s="1"/>
  <c r="D53" i="20"/>
  <c r="C53" i="20" s="1"/>
  <c r="D54" i="20"/>
  <c r="C54" i="20" s="1"/>
  <c r="D60" i="20"/>
  <c r="C60" i="20" s="1"/>
  <c r="D61" i="20"/>
  <c r="C61" i="20" s="1"/>
  <c r="AM78" i="45" s="1"/>
  <c r="D62" i="20"/>
  <c r="C62" i="20" s="1"/>
  <c r="AM79" i="45" s="1"/>
  <c r="D63" i="20"/>
  <c r="C63" i="20" s="1"/>
  <c r="AM80" i="45" s="1"/>
  <c r="D64" i="20"/>
  <c r="C64" i="20" s="1"/>
  <c r="AM81" i="45" s="1"/>
  <c r="D65" i="20"/>
  <c r="C65" i="20" s="1"/>
  <c r="AM82" i="45" s="1"/>
  <c r="D66" i="20"/>
  <c r="C66" i="20" s="1"/>
  <c r="AM83" i="45" s="1"/>
  <c r="D67" i="20"/>
  <c r="C67" i="20" s="1"/>
  <c r="AM84" i="45" s="1"/>
  <c r="D68" i="20"/>
  <c r="C68" i="20" s="1"/>
  <c r="AM85" i="45" s="1"/>
  <c r="D69" i="20"/>
  <c r="C69" i="20" s="1"/>
  <c r="AM86" i="45" s="1"/>
  <c r="D70" i="20"/>
  <c r="C70" i="20" s="1"/>
  <c r="AM87" i="45" s="1"/>
  <c r="D71" i="20"/>
  <c r="C71" i="20" s="1"/>
  <c r="AM88" i="45" s="1"/>
  <c r="D72" i="20"/>
  <c r="C72" i="20" s="1"/>
  <c r="AM89" i="45" s="1"/>
  <c r="D73" i="20"/>
  <c r="C73" i="20" s="1"/>
  <c r="AM90" i="45" s="1"/>
  <c r="D74" i="20"/>
  <c r="C74" i="20" s="1"/>
  <c r="AM91" i="45" s="1"/>
  <c r="D75" i="20"/>
  <c r="C75" i="20" s="1"/>
  <c r="AM92" i="45" s="1"/>
  <c r="D76" i="20"/>
  <c r="C76" i="20" s="1"/>
  <c r="AM93" i="45" s="1"/>
  <c r="D77" i="20"/>
  <c r="C77" i="20" s="1"/>
  <c r="AM94" i="45" s="1"/>
  <c r="D78" i="20"/>
  <c r="C78" i="20" s="1"/>
  <c r="AM95" i="45" s="1"/>
  <c r="D79" i="20"/>
  <c r="C79" i="20" s="1"/>
  <c r="AM96" i="45" s="1"/>
  <c r="D80" i="20"/>
  <c r="C80" i="20" s="1"/>
  <c r="AM97" i="45" s="1"/>
  <c r="D81" i="20"/>
  <c r="C81" i="20" s="1"/>
  <c r="AM98" i="45" s="1"/>
  <c r="D82" i="20"/>
  <c r="C82" i="20" s="1"/>
  <c r="AM99" i="45" s="1"/>
  <c r="D83" i="20"/>
  <c r="C83" i="20" s="1"/>
  <c r="AM100" i="45" s="1"/>
  <c r="D84" i="20"/>
  <c r="C84" i="20" s="1"/>
  <c r="AM101" i="45" s="1"/>
  <c r="D85" i="20"/>
  <c r="C85" i="20" s="1"/>
  <c r="AM102" i="45" s="1"/>
  <c r="D86" i="20"/>
  <c r="C86" i="20" s="1"/>
  <c r="AM103" i="45" s="1"/>
  <c r="D87" i="20"/>
  <c r="C87" i="20" s="1"/>
  <c r="AM104" i="45" s="1"/>
  <c r="D88" i="20"/>
  <c r="C88" i="20" s="1"/>
  <c r="AM105" i="45" s="1"/>
  <c r="D3" i="20"/>
  <c r="C3" i="20" s="1"/>
  <c r="D4" i="19"/>
  <c r="C4" i="19" s="1"/>
  <c r="G4" i="19" s="1"/>
  <c r="D5" i="19"/>
  <c r="C5" i="19" s="1"/>
  <c r="D6" i="19"/>
  <c r="C6" i="19" s="1"/>
  <c r="G6" i="19" s="1"/>
  <c r="D7" i="19"/>
  <c r="C7" i="19" s="1"/>
  <c r="D8" i="19"/>
  <c r="C8" i="19" s="1"/>
  <c r="G8" i="19" s="1"/>
  <c r="D9" i="19"/>
  <c r="C9" i="19" s="1"/>
  <c r="D10" i="19"/>
  <c r="C10" i="19" s="1"/>
  <c r="F10" i="19" s="1"/>
  <c r="D11" i="19"/>
  <c r="C11" i="19" s="1"/>
  <c r="D12" i="19"/>
  <c r="C12" i="19" s="1"/>
  <c r="G12" i="19" s="1"/>
  <c r="D13" i="19"/>
  <c r="C13" i="19" s="1"/>
  <c r="D14" i="19"/>
  <c r="C14" i="19" s="1"/>
  <c r="D15" i="19"/>
  <c r="C15" i="19" s="1"/>
  <c r="AL32" i="45" s="1"/>
  <c r="D16" i="19"/>
  <c r="C16" i="19" s="1"/>
  <c r="AL33" i="45" s="1"/>
  <c r="D17" i="19"/>
  <c r="C17" i="19" s="1"/>
  <c r="AL34" i="45" s="1"/>
  <c r="D18" i="19"/>
  <c r="C18" i="19" s="1"/>
  <c r="AL35" i="45" s="1"/>
  <c r="D19" i="19"/>
  <c r="C19" i="19" s="1"/>
  <c r="AL36" i="45" s="1"/>
  <c r="D20" i="19"/>
  <c r="C20" i="19" s="1"/>
  <c r="AL37" i="45" s="1"/>
  <c r="D21" i="19"/>
  <c r="C21" i="19" s="1"/>
  <c r="AL38" i="45" s="1"/>
  <c r="D22" i="19"/>
  <c r="C22" i="19" s="1"/>
  <c r="AL39" i="45" s="1"/>
  <c r="D23" i="19"/>
  <c r="C23" i="19" s="1"/>
  <c r="AL40" i="45" s="1"/>
  <c r="D24" i="19"/>
  <c r="C24" i="19" s="1"/>
  <c r="AL41" i="45" s="1"/>
  <c r="D25" i="19"/>
  <c r="C25" i="19" s="1"/>
  <c r="AL42" i="45" s="1"/>
  <c r="D26" i="19"/>
  <c r="C26" i="19" s="1"/>
  <c r="AL43" i="45" s="1"/>
  <c r="D27" i="19"/>
  <c r="C27" i="19" s="1"/>
  <c r="AL44" i="45" s="1"/>
  <c r="D28" i="19"/>
  <c r="C28" i="19" s="1"/>
  <c r="AL45" i="45" s="1"/>
  <c r="D29" i="19"/>
  <c r="C29" i="19" s="1"/>
  <c r="AL46" i="45" s="1"/>
  <c r="D30" i="19"/>
  <c r="C30" i="19" s="1"/>
  <c r="AL47" i="45" s="1"/>
  <c r="D31" i="19"/>
  <c r="C31" i="19" s="1"/>
  <c r="AL48" i="45" s="1"/>
  <c r="D32" i="19"/>
  <c r="C32" i="19" s="1"/>
  <c r="AL49" i="45" s="1"/>
  <c r="D33" i="19"/>
  <c r="C33" i="19" s="1"/>
  <c r="AL50" i="45" s="1"/>
  <c r="D34" i="19"/>
  <c r="C34" i="19" s="1"/>
  <c r="AL51" i="45" s="1"/>
  <c r="D35" i="19"/>
  <c r="C35" i="19" s="1"/>
  <c r="AL52" i="45" s="1"/>
  <c r="D36" i="19"/>
  <c r="C36" i="19" s="1"/>
  <c r="AL53" i="45" s="1"/>
  <c r="D37" i="19"/>
  <c r="C37" i="19" s="1"/>
  <c r="AL54" i="45" s="1"/>
  <c r="D38" i="19"/>
  <c r="C38" i="19" s="1"/>
  <c r="AL55" i="45" s="1"/>
  <c r="D39" i="19"/>
  <c r="C39" i="19" s="1"/>
  <c r="AL56" i="45" s="1"/>
  <c r="D40" i="19"/>
  <c r="C40" i="19" s="1"/>
  <c r="AL57" i="45" s="1"/>
  <c r="D41" i="19"/>
  <c r="C41" i="19" s="1"/>
  <c r="AL58" i="45" s="1"/>
  <c r="D42" i="19"/>
  <c r="C42" i="19" s="1"/>
  <c r="AL59" i="45" s="1"/>
  <c r="D43" i="19"/>
  <c r="C43" i="19" s="1"/>
  <c r="AL60" i="45" s="1"/>
  <c r="D44" i="19"/>
  <c r="C44" i="19" s="1"/>
  <c r="AL61" i="45" s="1"/>
  <c r="D45" i="19"/>
  <c r="C45" i="19" s="1"/>
  <c r="AL62" i="45" s="1"/>
  <c r="D46" i="19"/>
  <c r="C46" i="19" s="1"/>
  <c r="AL63" i="45" s="1"/>
  <c r="D47" i="19"/>
  <c r="C47" i="19" s="1"/>
  <c r="AL64" i="45" s="1"/>
  <c r="D48" i="19"/>
  <c r="C48" i="19" s="1"/>
  <c r="AL65" i="45" s="1"/>
  <c r="D49" i="19"/>
  <c r="C49" i="19" s="1"/>
  <c r="AL66" i="45" s="1"/>
  <c r="D50" i="19"/>
  <c r="C50" i="19" s="1"/>
  <c r="AL67" i="45" s="1"/>
  <c r="D51" i="19"/>
  <c r="C51" i="19" s="1"/>
  <c r="AL68" i="45" s="1"/>
  <c r="D52" i="19"/>
  <c r="C52" i="19" s="1"/>
  <c r="AL69" i="45" s="1"/>
  <c r="D53" i="19"/>
  <c r="C53" i="19" s="1"/>
  <c r="AL70" i="45" s="1"/>
  <c r="D54" i="19"/>
  <c r="C54" i="19" s="1"/>
  <c r="D55" i="19"/>
  <c r="C55" i="19" s="1"/>
  <c r="AL72" i="45" s="1"/>
  <c r="D56" i="19"/>
  <c r="C56" i="19" s="1"/>
  <c r="AL73" i="45" s="1"/>
  <c r="D57" i="19"/>
  <c r="C57" i="19" s="1"/>
  <c r="AL74" i="45" s="1"/>
  <c r="D58" i="19"/>
  <c r="C58" i="19" s="1"/>
  <c r="AL75" i="45" s="1"/>
  <c r="D59" i="19"/>
  <c r="C59" i="19" s="1"/>
  <c r="AL76" i="45" s="1"/>
  <c r="D60" i="19"/>
  <c r="C60" i="19" s="1"/>
  <c r="AL77" i="45" s="1"/>
  <c r="D61" i="19"/>
  <c r="C61" i="19" s="1"/>
  <c r="AL78" i="45" s="1"/>
  <c r="D62" i="19"/>
  <c r="C62" i="19" s="1"/>
  <c r="AL79" i="45" s="1"/>
  <c r="D63" i="19"/>
  <c r="C63" i="19" s="1"/>
  <c r="AL80" i="45" s="1"/>
  <c r="D64" i="19"/>
  <c r="C64" i="19" s="1"/>
  <c r="AL81" i="45" s="1"/>
  <c r="D65" i="19"/>
  <c r="C65" i="19" s="1"/>
  <c r="AL82" i="45" s="1"/>
  <c r="D66" i="19"/>
  <c r="C66" i="19" s="1"/>
  <c r="AL83" i="45" s="1"/>
  <c r="D67" i="19"/>
  <c r="C67" i="19" s="1"/>
  <c r="AL84" i="45" s="1"/>
  <c r="D68" i="19"/>
  <c r="C68" i="19" s="1"/>
  <c r="AL85" i="45" s="1"/>
  <c r="D69" i="19"/>
  <c r="C69" i="19" s="1"/>
  <c r="AL86" i="45" s="1"/>
  <c r="D70" i="19"/>
  <c r="C70" i="19" s="1"/>
  <c r="AL87" i="45" s="1"/>
  <c r="D71" i="19"/>
  <c r="C71" i="19" s="1"/>
  <c r="AL88" i="45" s="1"/>
  <c r="D72" i="19"/>
  <c r="C72" i="19" s="1"/>
  <c r="AL89" i="45" s="1"/>
  <c r="D73" i="19"/>
  <c r="C73" i="19" s="1"/>
  <c r="AL90" i="45" s="1"/>
  <c r="D74" i="19"/>
  <c r="C74" i="19" s="1"/>
  <c r="AL91" i="45" s="1"/>
  <c r="D75" i="19"/>
  <c r="C75" i="19" s="1"/>
  <c r="AL92" i="45" s="1"/>
  <c r="D76" i="19"/>
  <c r="C76" i="19" s="1"/>
  <c r="AL93" i="45" s="1"/>
  <c r="D77" i="19"/>
  <c r="C77" i="19" s="1"/>
  <c r="AL94" i="45" s="1"/>
  <c r="D78" i="19"/>
  <c r="C78" i="19" s="1"/>
  <c r="AL95" i="45" s="1"/>
  <c r="D79" i="19"/>
  <c r="C79" i="19" s="1"/>
  <c r="AL96" i="45" s="1"/>
  <c r="D80" i="19"/>
  <c r="C80" i="19" s="1"/>
  <c r="AL97" i="45" s="1"/>
  <c r="D81" i="19"/>
  <c r="C81" i="19" s="1"/>
  <c r="AL98" i="45" s="1"/>
  <c r="D82" i="19"/>
  <c r="C82" i="19" s="1"/>
  <c r="AL99" i="45" s="1"/>
  <c r="D83" i="19"/>
  <c r="C83" i="19" s="1"/>
  <c r="AL100" i="45" s="1"/>
  <c r="D84" i="19"/>
  <c r="C84" i="19" s="1"/>
  <c r="AL101" i="45" s="1"/>
  <c r="D85" i="19"/>
  <c r="C85" i="19" s="1"/>
  <c r="AL102" i="45" s="1"/>
  <c r="D86" i="19"/>
  <c r="C86" i="19" s="1"/>
  <c r="AL103" i="45" s="1"/>
  <c r="D87" i="19"/>
  <c r="C87" i="19" s="1"/>
  <c r="AL104" i="45" s="1"/>
  <c r="D88" i="19"/>
  <c r="C88" i="19" s="1"/>
  <c r="AL105" i="45" s="1"/>
  <c r="D3" i="19"/>
  <c r="C3" i="19" s="1"/>
  <c r="D4" i="18"/>
  <c r="C4" i="18" s="1"/>
  <c r="AJ21" i="45" s="1"/>
  <c r="D5" i="18"/>
  <c r="C5" i="18" s="1"/>
  <c r="AJ22" i="45" s="1"/>
  <c r="D6" i="18"/>
  <c r="C6" i="18" s="1"/>
  <c r="AJ23" i="45" s="1"/>
  <c r="D7" i="18"/>
  <c r="C7" i="18" s="1"/>
  <c r="AJ24" i="45" s="1"/>
  <c r="D8" i="18"/>
  <c r="C8" i="18" s="1"/>
  <c r="AJ25" i="45" s="1"/>
  <c r="D9" i="18"/>
  <c r="C9" i="18" s="1"/>
  <c r="AJ26" i="45" s="1"/>
  <c r="D10" i="18"/>
  <c r="C10" i="18" s="1"/>
  <c r="AJ27" i="45" s="1"/>
  <c r="D11" i="18"/>
  <c r="C11" i="18" s="1"/>
  <c r="AJ28" i="45" s="1"/>
  <c r="D12" i="18"/>
  <c r="C12" i="18" s="1"/>
  <c r="AJ29" i="45" s="1"/>
  <c r="D13" i="18"/>
  <c r="C13" i="18" s="1"/>
  <c r="AJ30" i="45" s="1"/>
  <c r="D14" i="18"/>
  <c r="C14" i="18" s="1"/>
  <c r="AJ31" i="45" s="1"/>
  <c r="D15" i="18"/>
  <c r="C15" i="18" s="1"/>
  <c r="AK32" i="45" s="1"/>
  <c r="D16" i="18"/>
  <c r="C16" i="18" s="1"/>
  <c r="AK33" i="45" s="1"/>
  <c r="D17" i="18"/>
  <c r="C17" i="18" s="1"/>
  <c r="AK34" i="45" s="1"/>
  <c r="D18" i="18"/>
  <c r="C18" i="18" s="1"/>
  <c r="AK35" i="45" s="1"/>
  <c r="D19" i="18"/>
  <c r="C19" i="18" s="1"/>
  <c r="AK36" i="45" s="1"/>
  <c r="D20" i="18"/>
  <c r="C20" i="18" s="1"/>
  <c r="AK37" i="45" s="1"/>
  <c r="D21" i="18"/>
  <c r="C21" i="18" s="1"/>
  <c r="AK38" i="45" s="1"/>
  <c r="D22" i="18"/>
  <c r="C22" i="18" s="1"/>
  <c r="D23" i="18"/>
  <c r="C23" i="18" s="1"/>
  <c r="AK40" i="45" s="1"/>
  <c r="D24" i="18"/>
  <c r="C24" i="18" s="1"/>
  <c r="AK41" i="45" s="1"/>
  <c r="D25" i="18"/>
  <c r="C25" i="18" s="1"/>
  <c r="AK42" i="45" s="1"/>
  <c r="D26" i="18"/>
  <c r="C26" i="18" s="1"/>
  <c r="AK43" i="45" s="1"/>
  <c r="D27" i="18"/>
  <c r="C27" i="18" s="1"/>
  <c r="AK44" i="45" s="1"/>
  <c r="D28" i="18"/>
  <c r="C28" i="18" s="1"/>
  <c r="AK45" i="45" s="1"/>
  <c r="D29" i="18"/>
  <c r="C29" i="18" s="1"/>
  <c r="AK46" i="45" s="1"/>
  <c r="D30" i="18"/>
  <c r="C30" i="18" s="1"/>
  <c r="D31" i="18"/>
  <c r="C31" i="18" s="1"/>
  <c r="AK48" i="45" s="1"/>
  <c r="D32" i="18"/>
  <c r="C32" i="18" s="1"/>
  <c r="AK49" i="45" s="1"/>
  <c r="D33" i="18"/>
  <c r="C33" i="18" s="1"/>
  <c r="AK50" i="45" s="1"/>
  <c r="D34" i="18"/>
  <c r="C34" i="18" s="1"/>
  <c r="AK51" i="45" s="1"/>
  <c r="D35" i="18"/>
  <c r="C35" i="18" s="1"/>
  <c r="AK52" i="45" s="1"/>
  <c r="D36" i="18"/>
  <c r="C36" i="18" s="1"/>
  <c r="AK53" i="45" s="1"/>
  <c r="D37" i="18"/>
  <c r="C37" i="18" s="1"/>
  <c r="AK54" i="45" s="1"/>
  <c r="D38" i="18"/>
  <c r="C38" i="18" s="1"/>
  <c r="D39" i="18"/>
  <c r="C39" i="18" s="1"/>
  <c r="AK56" i="45" s="1"/>
  <c r="D40" i="18"/>
  <c r="C40" i="18" s="1"/>
  <c r="AK57" i="45" s="1"/>
  <c r="D41" i="18"/>
  <c r="C41" i="18" s="1"/>
  <c r="AK58" i="45" s="1"/>
  <c r="D42" i="18"/>
  <c r="C42" i="18" s="1"/>
  <c r="AK59" i="45" s="1"/>
  <c r="D43" i="18"/>
  <c r="C43" i="18" s="1"/>
  <c r="AK60" i="45" s="1"/>
  <c r="D44" i="18"/>
  <c r="C44" i="18" s="1"/>
  <c r="AK61" i="45" s="1"/>
  <c r="D45" i="18"/>
  <c r="C45" i="18" s="1"/>
  <c r="AK62" i="45" s="1"/>
  <c r="D46" i="18"/>
  <c r="C46" i="18" s="1"/>
  <c r="AK63" i="45" s="1"/>
  <c r="D47" i="18"/>
  <c r="C47" i="18" s="1"/>
  <c r="AK64" i="45" s="1"/>
  <c r="D48" i="18"/>
  <c r="C48" i="18" s="1"/>
  <c r="AK65" i="45" s="1"/>
  <c r="D49" i="18"/>
  <c r="C49" i="18" s="1"/>
  <c r="AK66" i="45" s="1"/>
  <c r="D50" i="18"/>
  <c r="C50" i="18" s="1"/>
  <c r="D51" i="18"/>
  <c r="C51" i="18" s="1"/>
  <c r="AK68" i="45" s="1"/>
  <c r="D52" i="18"/>
  <c r="C52" i="18" s="1"/>
  <c r="AK69" i="45" s="1"/>
  <c r="D53" i="18"/>
  <c r="C53" i="18" s="1"/>
  <c r="AK70" i="45" s="1"/>
  <c r="D54" i="18"/>
  <c r="C54" i="18" s="1"/>
  <c r="AK71" i="45" s="1"/>
  <c r="D60" i="18"/>
  <c r="C60" i="18" s="1"/>
  <c r="AK77" i="45" s="1"/>
  <c r="D61" i="18"/>
  <c r="C61" i="18" s="1"/>
  <c r="AK78" i="45" s="1"/>
  <c r="D62" i="18"/>
  <c r="C62" i="18" s="1"/>
  <c r="AK79" i="45" s="1"/>
  <c r="D63" i="18"/>
  <c r="C63" i="18" s="1"/>
  <c r="AK80" i="45" s="1"/>
  <c r="D64" i="18"/>
  <c r="C64" i="18" s="1"/>
  <c r="AK81" i="45" s="1"/>
  <c r="D65" i="18"/>
  <c r="C65" i="18" s="1"/>
  <c r="AK82" i="45" s="1"/>
  <c r="D66" i="18"/>
  <c r="C66" i="18" s="1"/>
  <c r="AK83" i="45" s="1"/>
  <c r="D67" i="18"/>
  <c r="C67" i="18" s="1"/>
  <c r="AK84" i="45" s="1"/>
  <c r="D68" i="18"/>
  <c r="C68" i="18" s="1"/>
  <c r="AK85" i="45" s="1"/>
  <c r="D69" i="18"/>
  <c r="C69" i="18" s="1"/>
  <c r="AK86" i="45" s="1"/>
  <c r="D70" i="18"/>
  <c r="C70" i="18" s="1"/>
  <c r="AK87" i="45" s="1"/>
  <c r="D71" i="18"/>
  <c r="C71" i="18" s="1"/>
  <c r="AK88" i="45" s="1"/>
  <c r="D72" i="18"/>
  <c r="C72" i="18" s="1"/>
  <c r="AK89" i="45" s="1"/>
  <c r="D73" i="18"/>
  <c r="C73" i="18" s="1"/>
  <c r="AK90" i="45" s="1"/>
  <c r="D74" i="18"/>
  <c r="C74" i="18" s="1"/>
  <c r="AK91" i="45" s="1"/>
  <c r="D75" i="18"/>
  <c r="C75" i="18" s="1"/>
  <c r="AK92" i="45" s="1"/>
  <c r="D76" i="18"/>
  <c r="C76" i="18" s="1"/>
  <c r="AK93" i="45" s="1"/>
  <c r="D77" i="18"/>
  <c r="C77" i="18" s="1"/>
  <c r="AK94" i="45" s="1"/>
  <c r="D78" i="18"/>
  <c r="C78" i="18" s="1"/>
  <c r="AK95" i="45" s="1"/>
  <c r="D79" i="18"/>
  <c r="C79" i="18" s="1"/>
  <c r="AK96" i="45" s="1"/>
  <c r="D80" i="18"/>
  <c r="C80" i="18" s="1"/>
  <c r="AK97" i="45" s="1"/>
  <c r="D81" i="18"/>
  <c r="C81" i="18" s="1"/>
  <c r="AK98" i="45" s="1"/>
  <c r="D82" i="18"/>
  <c r="C82" i="18" s="1"/>
  <c r="AK99" i="45" s="1"/>
  <c r="D83" i="18"/>
  <c r="C83" i="18" s="1"/>
  <c r="AK100" i="45" s="1"/>
  <c r="D84" i="18"/>
  <c r="C84" i="18" s="1"/>
  <c r="AK101" i="45" s="1"/>
  <c r="D85" i="18"/>
  <c r="C85" i="18" s="1"/>
  <c r="AK102" i="45" s="1"/>
  <c r="D86" i="18"/>
  <c r="C86" i="18" s="1"/>
  <c r="AK103" i="45" s="1"/>
  <c r="D87" i="18"/>
  <c r="C87" i="18" s="1"/>
  <c r="AK104" i="45" s="1"/>
  <c r="D88" i="18"/>
  <c r="C88" i="18" s="1"/>
  <c r="AK105" i="45" s="1"/>
  <c r="D3" i="18"/>
  <c r="C3" i="18" s="1"/>
  <c r="AJ20" i="45" s="1"/>
  <c r="D76" i="11"/>
  <c r="C76" i="11" s="1"/>
  <c r="V87" i="45" s="1"/>
  <c r="D77" i="11"/>
  <c r="C77" i="11" s="1"/>
  <c r="V88" i="45" s="1"/>
  <c r="D78" i="11"/>
  <c r="C78" i="11" s="1"/>
  <c r="V89" i="45" s="1"/>
  <c r="D42" i="11"/>
  <c r="C42" i="11" s="1"/>
  <c r="V53" i="45" s="1"/>
  <c r="D43" i="11"/>
  <c r="C43" i="11" s="1"/>
  <c r="V54" i="45" s="1"/>
  <c r="D44" i="11"/>
  <c r="C44" i="11" s="1"/>
  <c r="V55" i="45" s="1"/>
  <c r="D45" i="11"/>
  <c r="C45" i="11" s="1"/>
  <c r="V56" i="45" s="1"/>
  <c r="D46" i="11"/>
  <c r="C46" i="11" s="1"/>
  <c r="V57" i="45" s="1"/>
  <c r="D47" i="11"/>
  <c r="C47" i="11" s="1"/>
  <c r="V58" i="45" s="1"/>
  <c r="D48" i="11"/>
  <c r="C48" i="11" s="1"/>
  <c r="V59" i="45" s="1"/>
  <c r="D49" i="11"/>
  <c r="C49" i="11" s="1"/>
  <c r="V60" i="45" s="1"/>
  <c r="D50" i="11"/>
  <c r="C50" i="11" s="1"/>
  <c r="V61" i="45" s="1"/>
  <c r="D51" i="11"/>
  <c r="C51" i="11" s="1"/>
  <c r="V62" i="45" s="1"/>
  <c r="D52" i="11"/>
  <c r="C52" i="11" s="1"/>
  <c r="V63" i="45" s="1"/>
  <c r="D53" i="11"/>
  <c r="C53" i="11" s="1"/>
  <c r="V64" i="45" s="1"/>
  <c r="D54" i="11"/>
  <c r="C54" i="11" s="1"/>
  <c r="V65" i="45" s="1"/>
  <c r="D55" i="11"/>
  <c r="C55" i="11" s="1"/>
  <c r="V66" i="45" s="1"/>
  <c r="D56" i="11"/>
  <c r="C56" i="11" s="1"/>
  <c r="V67" i="45" s="1"/>
  <c r="D57" i="11"/>
  <c r="C57" i="11" s="1"/>
  <c r="V68" i="45" s="1"/>
  <c r="D58" i="11"/>
  <c r="C58" i="11" s="1"/>
  <c r="V69" i="45" s="1"/>
  <c r="D59" i="11"/>
  <c r="C59" i="11" s="1"/>
  <c r="V70" i="45" s="1"/>
  <c r="D60" i="11"/>
  <c r="C60" i="11" s="1"/>
  <c r="V71" i="45" s="1"/>
  <c r="D61" i="11"/>
  <c r="C61" i="11" s="1"/>
  <c r="V72" i="45" s="1"/>
  <c r="D62" i="11"/>
  <c r="C62" i="11" s="1"/>
  <c r="V73" i="45" s="1"/>
  <c r="D63" i="11"/>
  <c r="C63" i="11" s="1"/>
  <c r="V74" i="45" s="1"/>
  <c r="D64" i="11"/>
  <c r="C64" i="11" s="1"/>
  <c r="V75" i="45" s="1"/>
  <c r="D65" i="11"/>
  <c r="C65" i="11" s="1"/>
  <c r="V76" i="45" s="1"/>
  <c r="D66" i="11"/>
  <c r="C66" i="11" s="1"/>
  <c r="V77" i="45" s="1"/>
  <c r="D67" i="11"/>
  <c r="C67" i="11" s="1"/>
  <c r="V78" i="45" s="1"/>
  <c r="D68" i="11"/>
  <c r="C68" i="11" s="1"/>
  <c r="V79" i="45" s="1"/>
  <c r="D69" i="11"/>
  <c r="C69" i="11" s="1"/>
  <c r="V80" i="45" s="1"/>
  <c r="D70" i="11"/>
  <c r="C70" i="11" s="1"/>
  <c r="V81" i="45" s="1"/>
  <c r="D71" i="11"/>
  <c r="C71" i="11" s="1"/>
  <c r="V82" i="45" s="1"/>
  <c r="D72" i="11"/>
  <c r="C72" i="11" s="1"/>
  <c r="V83" i="45" s="1"/>
  <c r="D73" i="11"/>
  <c r="C73" i="11" s="1"/>
  <c r="V84" i="45" s="1"/>
  <c r="D74" i="11"/>
  <c r="C74" i="11" s="1"/>
  <c r="V85" i="45" s="1"/>
  <c r="D75" i="11"/>
  <c r="C75" i="11" s="1"/>
  <c r="V86" i="45" s="1"/>
  <c r="D79" i="11"/>
  <c r="C79" i="11" s="1"/>
  <c r="V90" i="45" s="1"/>
  <c r="D80" i="11"/>
  <c r="C80" i="11" s="1"/>
  <c r="V91" i="45" s="1"/>
  <c r="D81" i="11"/>
  <c r="C81" i="11" s="1"/>
  <c r="V92" i="45" s="1"/>
  <c r="D82" i="11"/>
  <c r="C82" i="11" s="1"/>
  <c r="V93" i="45" s="1"/>
  <c r="D83" i="11"/>
  <c r="C83" i="11" s="1"/>
  <c r="V94" i="45" s="1"/>
  <c r="D84" i="11"/>
  <c r="C84" i="11" s="1"/>
  <c r="V95" i="45" s="1"/>
  <c r="D85" i="11"/>
  <c r="C85" i="11" s="1"/>
  <c r="V96" i="45" s="1"/>
  <c r="D86" i="11"/>
  <c r="C86" i="11" s="1"/>
  <c r="V97" i="45" s="1"/>
  <c r="D87" i="11"/>
  <c r="C87" i="11" s="1"/>
  <c r="V98" i="45" s="1"/>
  <c r="D88" i="11"/>
  <c r="C88" i="11" s="1"/>
  <c r="V99" i="45" s="1"/>
  <c r="D89" i="11"/>
  <c r="C89" i="11" s="1"/>
  <c r="V100" i="45" s="1"/>
  <c r="D90" i="11"/>
  <c r="C90" i="11" s="1"/>
  <c r="V101" i="45" s="1"/>
  <c r="D91" i="11"/>
  <c r="C91" i="11" s="1"/>
  <c r="V102" i="45" s="1"/>
  <c r="D92" i="11"/>
  <c r="C92" i="11" s="1"/>
  <c r="V103" i="45" s="1"/>
  <c r="D93" i="11"/>
  <c r="C93" i="11" s="1"/>
  <c r="V104" i="45" s="1"/>
  <c r="D94" i="11"/>
  <c r="C94" i="11" s="1"/>
  <c r="V105" i="45" s="1"/>
  <c r="D4" i="11"/>
  <c r="C4" i="11" s="1"/>
  <c r="D5" i="11"/>
  <c r="C5" i="11" s="1"/>
  <c r="D6" i="11"/>
  <c r="C6" i="11" s="1"/>
  <c r="D7" i="11"/>
  <c r="C7" i="11" s="1"/>
  <c r="D8" i="11"/>
  <c r="C8" i="11" s="1"/>
  <c r="D9" i="11"/>
  <c r="C9" i="11" s="1"/>
  <c r="D10" i="11"/>
  <c r="C10" i="11" s="1"/>
  <c r="D11" i="11"/>
  <c r="C11" i="11" s="1"/>
  <c r="D12" i="11"/>
  <c r="C12" i="11" s="1"/>
  <c r="D13" i="11"/>
  <c r="C13" i="11" s="1"/>
  <c r="D14" i="11"/>
  <c r="C14" i="11" s="1"/>
  <c r="D15" i="11"/>
  <c r="C15" i="11" s="1"/>
  <c r="D16" i="11"/>
  <c r="C16" i="11" s="1"/>
  <c r="D17" i="11"/>
  <c r="C17" i="11" s="1"/>
  <c r="D18" i="11"/>
  <c r="C18" i="11" s="1"/>
  <c r="D19" i="11"/>
  <c r="C19" i="11" s="1"/>
  <c r="D20" i="11"/>
  <c r="C20" i="11" s="1"/>
  <c r="D21" i="11"/>
  <c r="C21" i="11" s="1"/>
  <c r="D22" i="11"/>
  <c r="C22" i="11" s="1"/>
  <c r="D23" i="11"/>
  <c r="C23" i="11" s="1"/>
  <c r="D24" i="11"/>
  <c r="C24" i="11" s="1"/>
  <c r="D25" i="11"/>
  <c r="C25" i="11" s="1"/>
  <c r="D26" i="11"/>
  <c r="C26" i="11" s="1"/>
  <c r="D27" i="11"/>
  <c r="C27" i="11" s="1"/>
  <c r="D28" i="11"/>
  <c r="C28" i="11" s="1"/>
  <c r="D29" i="11"/>
  <c r="C29" i="11" s="1"/>
  <c r="D30" i="11"/>
  <c r="C30" i="11" s="1"/>
  <c r="D31" i="11"/>
  <c r="C31" i="11" s="1"/>
  <c r="D32" i="11"/>
  <c r="C32" i="11" s="1"/>
  <c r="D33" i="11"/>
  <c r="C33" i="11" s="1"/>
  <c r="D34" i="11"/>
  <c r="C34" i="11" s="1"/>
  <c r="D35" i="11"/>
  <c r="C35" i="11" s="1"/>
  <c r="D36" i="11"/>
  <c r="C36" i="11" s="1"/>
  <c r="D37" i="11"/>
  <c r="C37" i="11" s="1"/>
  <c r="D38" i="11"/>
  <c r="C38" i="11" s="1"/>
  <c r="D39" i="11"/>
  <c r="C39" i="11" s="1"/>
  <c r="D40" i="11"/>
  <c r="C40" i="11" s="1"/>
  <c r="D41" i="11"/>
  <c r="C41" i="11" s="1"/>
  <c r="V52" i="45" s="1"/>
  <c r="D3" i="11"/>
  <c r="C3" i="11" s="1"/>
  <c r="D49" i="10"/>
  <c r="C49" i="10" s="1"/>
  <c r="D50" i="10"/>
  <c r="C50" i="10" s="1"/>
  <c r="D51" i="10"/>
  <c r="C51" i="10" s="1"/>
  <c r="D52" i="10"/>
  <c r="C52" i="10" s="1"/>
  <c r="G52" i="10" s="1"/>
  <c r="D53" i="10"/>
  <c r="C53" i="10" s="1"/>
  <c r="D54" i="10"/>
  <c r="C54" i="10" s="1"/>
  <c r="D55" i="10"/>
  <c r="C55" i="10" s="1"/>
  <c r="D56" i="10"/>
  <c r="C56" i="10" s="1"/>
  <c r="G56" i="10" s="1"/>
  <c r="D57" i="10"/>
  <c r="C57" i="10" s="1"/>
  <c r="D58" i="10"/>
  <c r="C58" i="10" s="1"/>
  <c r="D59" i="10"/>
  <c r="C59" i="10" s="1"/>
  <c r="D67" i="10"/>
  <c r="C67" i="10" s="1"/>
  <c r="G67" i="10" s="1"/>
  <c r="D68" i="10"/>
  <c r="C68" i="10" s="1"/>
  <c r="D69" i="10"/>
  <c r="C69" i="10" s="1"/>
  <c r="D70" i="10"/>
  <c r="C70" i="10" s="1"/>
  <c r="G70" i="10" s="1"/>
  <c r="D71" i="10"/>
  <c r="C71" i="10" s="1"/>
  <c r="D72" i="10"/>
  <c r="C72" i="10" s="1"/>
  <c r="D73" i="10"/>
  <c r="C73" i="10" s="1"/>
  <c r="D74" i="10"/>
  <c r="C74" i="10" s="1"/>
  <c r="D75" i="10"/>
  <c r="C75" i="10" s="1"/>
  <c r="D76" i="10"/>
  <c r="C76" i="10" s="1"/>
  <c r="D77" i="10"/>
  <c r="C77" i="10" s="1"/>
  <c r="D78" i="10"/>
  <c r="C78" i="10" s="1"/>
  <c r="D79" i="10"/>
  <c r="C79" i="10" s="1"/>
  <c r="D80" i="10"/>
  <c r="C80" i="10" s="1"/>
  <c r="D81" i="10"/>
  <c r="C81" i="10" s="1"/>
  <c r="D82" i="10"/>
  <c r="C82" i="10" s="1"/>
  <c r="D83" i="10"/>
  <c r="C83" i="10" s="1"/>
  <c r="D84" i="10"/>
  <c r="C84" i="10" s="1"/>
  <c r="D85" i="10"/>
  <c r="C85" i="10" s="1"/>
  <c r="D86" i="10"/>
  <c r="C86" i="10" s="1"/>
  <c r="D87" i="10"/>
  <c r="C87" i="10" s="1"/>
  <c r="D88" i="10"/>
  <c r="C88" i="10" s="1"/>
  <c r="D89" i="10"/>
  <c r="C89" i="10" s="1"/>
  <c r="D90" i="10"/>
  <c r="C90" i="10" s="1"/>
  <c r="D91" i="10"/>
  <c r="C91" i="10" s="1"/>
  <c r="D92" i="10"/>
  <c r="C92" i="10" s="1"/>
  <c r="U103" i="45" s="1"/>
  <c r="D93" i="10"/>
  <c r="C93" i="10" s="1"/>
  <c r="U104" i="45" s="1"/>
  <c r="D4" i="10"/>
  <c r="C4" i="10" s="1"/>
  <c r="G4" i="10" s="1"/>
  <c r="D5" i="10"/>
  <c r="C5" i="10" s="1"/>
  <c r="D6" i="10"/>
  <c r="C6" i="10" s="1"/>
  <c r="D7" i="10"/>
  <c r="C7" i="10" s="1"/>
  <c r="G7" i="10" s="1"/>
  <c r="D8" i="10"/>
  <c r="C8" i="10" s="1"/>
  <c r="G8" i="10" s="1"/>
  <c r="D9" i="10"/>
  <c r="C9" i="10" s="1"/>
  <c r="D10" i="10"/>
  <c r="C10" i="10" s="1"/>
  <c r="D11" i="10"/>
  <c r="C11" i="10" s="1"/>
  <c r="G11" i="10" s="1"/>
  <c r="D12" i="10"/>
  <c r="C12" i="10" s="1"/>
  <c r="G12" i="10" s="1"/>
  <c r="D13" i="10"/>
  <c r="C13" i="10" s="1"/>
  <c r="D14" i="10"/>
  <c r="C14" i="10" s="1"/>
  <c r="D15" i="10"/>
  <c r="C15" i="10" s="1"/>
  <c r="G15" i="10" s="1"/>
  <c r="D16" i="10"/>
  <c r="C16" i="10" s="1"/>
  <c r="G16" i="10" s="1"/>
  <c r="D17" i="10"/>
  <c r="C17" i="10" s="1"/>
  <c r="D18" i="10"/>
  <c r="C18" i="10" s="1"/>
  <c r="D19" i="10"/>
  <c r="C19" i="10" s="1"/>
  <c r="G19" i="10" s="1"/>
  <c r="D20" i="10"/>
  <c r="C20" i="10" s="1"/>
  <c r="G20" i="10" s="1"/>
  <c r="D21" i="10"/>
  <c r="C21" i="10" s="1"/>
  <c r="D22" i="10"/>
  <c r="C22" i="10" s="1"/>
  <c r="D23" i="10"/>
  <c r="C23" i="10" s="1"/>
  <c r="G23" i="10" s="1"/>
  <c r="D24" i="10"/>
  <c r="C24" i="10" s="1"/>
  <c r="G24" i="10" s="1"/>
  <c r="D25" i="10"/>
  <c r="C25" i="10" s="1"/>
  <c r="D26" i="10"/>
  <c r="C26" i="10" s="1"/>
  <c r="D27" i="10"/>
  <c r="C27" i="10" s="1"/>
  <c r="G27" i="10" s="1"/>
  <c r="D28" i="10"/>
  <c r="C28" i="10" s="1"/>
  <c r="G28" i="10" s="1"/>
  <c r="D29" i="10"/>
  <c r="C29" i="10" s="1"/>
  <c r="D30" i="10"/>
  <c r="C30" i="10" s="1"/>
  <c r="D31" i="10"/>
  <c r="C31" i="10" s="1"/>
  <c r="G31" i="10" s="1"/>
  <c r="D32" i="10"/>
  <c r="C32" i="10" s="1"/>
  <c r="G32" i="10" s="1"/>
  <c r="D33" i="10"/>
  <c r="C33" i="10" s="1"/>
  <c r="D34" i="10"/>
  <c r="C34" i="10" s="1"/>
  <c r="D35" i="10"/>
  <c r="C35" i="10" s="1"/>
  <c r="G35" i="10" s="1"/>
  <c r="D36" i="10"/>
  <c r="C36" i="10" s="1"/>
  <c r="G36" i="10" s="1"/>
  <c r="D37" i="10"/>
  <c r="C37" i="10" s="1"/>
  <c r="D38" i="10"/>
  <c r="C38" i="10" s="1"/>
  <c r="D39" i="10"/>
  <c r="C39" i="10" s="1"/>
  <c r="G39" i="10" s="1"/>
  <c r="D40" i="10"/>
  <c r="C40" i="10" s="1"/>
  <c r="G40" i="10" s="1"/>
  <c r="D41" i="10"/>
  <c r="C41" i="10" s="1"/>
  <c r="D42" i="10"/>
  <c r="C42" i="10" s="1"/>
  <c r="D43" i="10"/>
  <c r="C43" i="10" s="1"/>
  <c r="G43" i="10" s="1"/>
  <c r="D44" i="10"/>
  <c r="C44" i="10" s="1"/>
  <c r="G44" i="10" s="1"/>
  <c r="D45" i="10"/>
  <c r="C45" i="10" s="1"/>
  <c r="D46" i="10"/>
  <c r="C46" i="10" s="1"/>
  <c r="D47" i="10"/>
  <c r="C47" i="10" s="1"/>
  <c r="G47" i="10" s="1"/>
  <c r="D48" i="10"/>
  <c r="C48" i="10" s="1"/>
  <c r="G48" i="10" s="1"/>
  <c r="D3" i="10"/>
  <c r="C3" i="10" s="1"/>
  <c r="D49" i="9"/>
  <c r="C49" i="9" s="1"/>
  <c r="T60" i="45" s="1"/>
  <c r="D50" i="9"/>
  <c r="C50" i="9" s="1"/>
  <c r="T61" i="45" s="1"/>
  <c r="D51" i="9"/>
  <c r="C51" i="9" s="1"/>
  <c r="T62" i="45" s="1"/>
  <c r="D52" i="9"/>
  <c r="C52" i="9" s="1"/>
  <c r="T63" i="45" s="1"/>
  <c r="D53" i="9"/>
  <c r="C53" i="9" s="1"/>
  <c r="T64" i="45" s="1"/>
  <c r="D54" i="9"/>
  <c r="C54" i="9" s="1"/>
  <c r="T65" i="45" s="1"/>
  <c r="D55" i="9"/>
  <c r="C55" i="9" s="1"/>
  <c r="T66" i="45" s="1"/>
  <c r="D56" i="9"/>
  <c r="C56" i="9" s="1"/>
  <c r="T67" i="45" s="1"/>
  <c r="D57" i="9"/>
  <c r="C57" i="9" s="1"/>
  <c r="T68" i="45" s="1"/>
  <c r="D58" i="9"/>
  <c r="C58" i="9" s="1"/>
  <c r="T69" i="45" s="1"/>
  <c r="D59" i="9"/>
  <c r="C59" i="9" s="1"/>
  <c r="T70" i="45" s="1"/>
  <c r="D60" i="9"/>
  <c r="C60" i="9" s="1"/>
  <c r="T71" i="45" s="1"/>
  <c r="D66" i="9"/>
  <c r="C66" i="9" s="1"/>
  <c r="T77" i="45" s="1"/>
  <c r="D67" i="9"/>
  <c r="C67" i="9" s="1"/>
  <c r="D68" i="9"/>
  <c r="C68" i="9" s="1"/>
  <c r="D69" i="9"/>
  <c r="C69" i="9" s="1"/>
  <c r="T80" i="45" s="1"/>
  <c r="D70" i="9"/>
  <c r="C70" i="9" s="1"/>
  <c r="T81" i="45" s="1"/>
  <c r="D71" i="9"/>
  <c r="C71" i="9" s="1"/>
  <c r="T82" i="45" s="1"/>
  <c r="D72" i="9"/>
  <c r="C72" i="9" s="1"/>
  <c r="T83" i="45" s="1"/>
  <c r="D73" i="9"/>
  <c r="C73" i="9" s="1"/>
  <c r="T84" i="45" s="1"/>
  <c r="D74" i="9"/>
  <c r="C74" i="9" s="1"/>
  <c r="T85" i="45" s="1"/>
  <c r="D75" i="9"/>
  <c r="C75" i="9" s="1"/>
  <c r="T86" i="45" s="1"/>
  <c r="D76" i="9"/>
  <c r="C76" i="9" s="1"/>
  <c r="T87" i="45" s="1"/>
  <c r="D77" i="9"/>
  <c r="C77" i="9" s="1"/>
  <c r="T88" i="45" s="1"/>
  <c r="D78" i="9"/>
  <c r="C78" i="9" s="1"/>
  <c r="T89" i="45" s="1"/>
  <c r="D79" i="9"/>
  <c r="C79" i="9" s="1"/>
  <c r="T90" i="45" s="1"/>
  <c r="D80" i="9"/>
  <c r="C80" i="9" s="1"/>
  <c r="T91" i="45" s="1"/>
  <c r="D81" i="9"/>
  <c r="C81" i="9" s="1"/>
  <c r="T92" i="45" s="1"/>
  <c r="D82" i="9"/>
  <c r="C82" i="9" s="1"/>
  <c r="T93" i="45" s="1"/>
  <c r="D83" i="9"/>
  <c r="C83" i="9" s="1"/>
  <c r="T94" i="45" s="1"/>
  <c r="D84" i="9"/>
  <c r="C84" i="9" s="1"/>
  <c r="T95" i="45" s="1"/>
  <c r="D85" i="9"/>
  <c r="C85" i="9" s="1"/>
  <c r="T96" i="45" s="1"/>
  <c r="D86" i="9"/>
  <c r="C86" i="9" s="1"/>
  <c r="T97" i="45" s="1"/>
  <c r="D87" i="9"/>
  <c r="C87" i="9" s="1"/>
  <c r="T98" i="45" s="1"/>
  <c r="D88" i="9"/>
  <c r="C88" i="9" s="1"/>
  <c r="T99" i="45" s="1"/>
  <c r="D89" i="9"/>
  <c r="C89" i="9" s="1"/>
  <c r="T100" i="45" s="1"/>
  <c r="D90" i="9"/>
  <c r="C90" i="9" s="1"/>
  <c r="T101" i="45" s="1"/>
  <c r="D91" i="9"/>
  <c r="C91" i="9" s="1"/>
  <c r="T102" i="45" s="1"/>
  <c r="D92" i="9"/>
  <c r="C92" i="9" s="1"/>
  <c r="T103" i="45" s="1"/>
  <c r="D93" i="9"/>
  <c r="C93" i="9" s="1"/>
  <c r="T104" i="45" s="1"/>
  <c r="D4" i="9"/>
  <c r="C4" i="9" s="1"/>
  <c r="S15" i="45" s="1"/>
  <c r="D5" i="9"/>
  <c r="C5" i="9" s="1"/>
  <c r="S16" i="45" s="1"/>
  <c r="D6" i="9"/>
  <c r="C6" i="9" s="1"/>
  <c r="D7" i="9"/>
  <c r="C7" i="9" s="1"/>
  <c r="D8" i="9"/>
  <c r="C8" i="9" s="1"/>
  <c r="S19" i="45" s="1"/>
  <c r="D9" i="9"/>
  <c r="C9" i="9" s="1"/>
  <c r="S20" i="45" s="1"/>
  <c r="D10" i="9"/>
  <c r="C10" i="9" s="1"/>
  <c r="D11" i="9"/>
  <c r="C11" i="9" s="1"/>
  <c r="D12" i="9"/>
  <c r="C12" i="9" s="1"/>
  <c r="S23" i="45" s="1"/>
  <c r="D13" i="9"/>
  <c r="C13" i="9" s="1"/>
  <c r="S24" i="45" s="1"/>
  <c r="D14" i="9"/>
  <c r="C14" i="9" s="1"/>
  <c r="D15" i="9"/>
  <c r="C15" i="9" s="1"/>
  <c r="D16" i="9"/>
  <c r="C16" i="9" s="1"/>
  <c r="S27" i="45" s="1"/>
  <c r="D17" i="9"/>
  <c r="C17" i="9" s="1"/>
  <c r="S28" i="45" s="1"/>
  <c r="D18" i="9"/>
  <c r="C18" i="9" s="1"/>
  <c r="D19" i="9"/>
  <c r="C19" i="9" s="1"/>
  <c r="D20" i="9"/>
  <c r="C20" i="9" s="1"/>
  <c r="S31" i="45" s="1"/>
  <c r="D21" i="9"/>
  <c r="C21" i="9" s="1"/>
  <c r="S32" i="45" s="1"/>
  <c r="D22" i="9"/>
  <c r="C22" i="9" s="1"/>
  <c r="D23" i="9"/>
  <c r="C23" i="9" s="1"/>
  <c r="D24" i="9"/>
  <c r="C24" i="9" s="1"/>
  <c r="S35" i="45" s="1"/>
  <c r="D25" i="9"/>
  <c r="C25" i="9" s="1"/>
  <c r="S36" i="45" s="1"/>
  <c r="D26" i="9"/>
  <c r="C26" i="9" s="1"/>
  <c r="D27" i="9"/>
  <c r="C27" i="9" s="1"/>
  <c r="D28" i="9"/>
  <c r="C28" i="9" s="1"/>
  <c r="S39" i="45" s="1"/>
  <c r="D29" i="9"/>
  <c r="C29" i="9" s="1"/>
  <c r="S40" i="45" s="1"/>
  <c r="D30" i="9"/>
  <c r="C30" i="9" s="1"/>
  <c r="D31" i="9"/>
  <c r="C31" i="9" s="1"/>
  <c r="D32" i="9"/>
  <c r="C32" i="9" s="1"/>
  <c r="S43" i="45" s="1"/>
  <c r="D33" i="9"/>
  <c r="C33" i="9" s="1"/>
  <c r="S44" i="45" s="1"/>
  <c r="D34" i="9"/>
  <c r="C34" i="9" s="1"/>
  <c r="D35" i="9"/>
  <c r="C35" i="9" s="1"/>
  <c r="D36" i="9"/>
  <c r="C36" i="9" s="1"/>
  <c r="S47" i="45" s="1"/>
  <c r="D37" i="9"/>
  <c r="C37" i="9" s="1"/>
  <c r="S48" i="45" s="1"/>
  <c r="D38" i="9"/>
  <c r="C38" i="9" s="1"/>
  <c r="D39" i="9"/>
  <c r="C39" i="9" s="1"/>
  <c r="D40" i="9"/>
  <c r="C40" i="9" s="1"/>
  <c r="S51" i="45" s="1"/>
  <c r="D41" i="9"/>
  <c r="C41" i="9" s="1"/>
  <c r="T52" i="45" s="1"/>
  <c r="D42" i="9"/>
  <c r="C42" i="9" s="1"/>
  <c r="D43" i="9"/>
  <c r="C43" i="9" s="1"/>
  <c r="D44" i="9"/>
  <c r="C44" i="9" s="1"/>
  <c r="T55" i="45" s="1"/>
  <c r="D45" i="9"/>
  <c r="C45" i="9" s="1"/>
  <c r="T56" i="45" s="1"/>
  <c r="D46" i="9"/>
  <c r="C46" i="9" s="1"/>
  <c r="D47" i="9"/>
  <c r="C47" i="9" s="1"/>
  <c r="D48" i="9"/>
  <c r="C48" i="9" s="1"/>
  <c r="T59" i="45" s="1"/>
  <c r="D3" i="9"/>
  <c r="C3" i="9" s="1"/>
  <c r="S14" i="45" s="1"/>
  <c r="D4" i="5"/>
  <c r="C4" i="5" s="1"/>
  <c r="C12" i="45" s="1"/>
  <c r="D5" i="5"/>
  <c r="C5" i="5" s="1"/>
  <c r="C13" i="45" s="1"/>
  <c r="D6" i="5"/>
  <c r="C6" i="5" s="1"/>
  <c r="C14" i="45" s="1"/>
  <c r="D7" i="5"/>
  <c r="C7" i="5" s="1"/>
  <c r="C15" i="45" s="1"/>
  <c r="D8" i="5"/>
  <c r="C8" i="5" s="1"/>
  <c r="C16" i="45" s="1"/>
  <c r="D9" i="5"/>
  <c r="C9" i="5" s="1"/>
  <c r="C17" i="45" s="1"/>
  <c r="D10" i="5"/>
  <c r="C10" i="5" s="1"/>
  <c r="C18" i="45" s="1"/>
  <c r="D11" i="5"/>
  <c r="C11" i="5" s="1"/>
  <c r="C19" i="45" s="1"/>
  <c r="D12" i="5"/>
  <c r="C12" i="5" s="1"/>
  <c r="C20" i="45" s="1"/>
  <c r="D13" i="5"/>
  <c r="C13" i="5" s="1"/>
  <c r="C21" i="45" s="1"/>
  <c r="D14" i="5"/>
  <c r="C14" i="5" s="1"/>
  <c r="C22" i="45" s="1"/>
  <c r="D15" i="5"/>
  <c r="C15" i="5" s="1"/>
  <c r="C23" i="45" s="1"/>
  <c r="D16" i="5"/>
  <c r="C16" i="5" s="1"/>
  <c r="C24" i="45" s="1"/>
  <c r="D17" i="5"/>
  <c r="C17" i="5" s="1"/>
  <c r="C25" i="45" s="1"/>
  <c r="D18" i="5"/>
  <c r="C18" i="5" s="1"/>
  <c r="C26" i="45" s="1"/>
  <c r="D19" i="5"/>
  <c r="C19" i="5" s="1"/>
  <c r="C27" i="45" s="1"/>
  <c r="D20" i="5"/>
  <c r="C20" i="5" s="1"/>
  <c r="C28" i="45" s="1"/>
  <c r="D21" i="5"/>
  <c r="C21" i="5" s="1"/>
  <c r="C29" i="45" s="1"/>
  <c r="D22" i="5"/>
  <c r="C22" i="5" s="1"/>
  <c r="C30" i="45" s="1"/>
  <c r="D23" i="5"/>
  <c r="C23" i="5" s="1"/>
  <c r="C31" i="45" s="1"/>
  <c r="D24" i="5"/>
  <c r="C24" i="5" s="1"/>
  <c r="C32" i="45" s="1"/>
  <c r="D25" i="5"/>
  <c r="C25" i="5" s="1"/>
  <c r="C33" i="45" s="1"/>
  <c r="D26" i="5"/>
  <c r="C26" i="5" s="1"/>
  <c r="C34" i="45" s="1"/>
  <c r="D27" i="5"/>
  <c r="C27" i="5" s="1"/>
  <c r="C35" i="45" s="1"/>
  <c r="D28" i="5"/>
  <c r="C28" i="5" s="1"/>
  <c r="C36" i="45" s="1"/>
  <c r="D29" i="5"/>
  <c r="C29" i="5" s="1"/>
  <c r="C37" i="45" s="1"/>
  <c r="D30" i="5"/>
  <c r="C30" i="5" s="1"/>
  <c r="C38" i="45" s="1"/>
  <c r="D31" i="5"/>
  <c r="C31" i="5" s="1"/>
  <c r="C39" i="45" s="1"/>
  <c r="D32" i="5"/>
  <c r="C32" i="5" s="1"/>
  <c r="C40" i="45" s="1"/>
  <c r="D33" i="5"/>
  <c r="C33" i="5" s="1"/>
  <c r="C41" i="45" s="1"/>
  <c r="D34" i="5"/>
  <c r="C34" i="5" s="1"/>
  <c r="C42" i="45" s="1"/>
  <c r="D35" i="5"/>
  <c r="C35" i="5" s="1"/>
  <c r="C43" i="45" s="1"/>
  <c r="D36" i="5"/>
  <c r="C36" i="5" s="1"/>
  <c r="C44" i="45" s="1"/>
  <c r="D37" i="5"/>
  <c r="C37" i="5" s="1"/>
  <c r="C45" i="45" s="1"/>
  <c r="D38" i="5"/>
  <c r="C38" i="5" s="1"/>
  <c r="C46" i="45" s="1"/>
  <c r="D39" i="5"/>
  <c r="C39" i="5" s="1"/>
  <c r="C47" i="45" s="1"/>
  <c r="D40" i="5"/>
  <c r="C40" i="5" s="1"/>
  <c r="C48" i="45" s="1"/>
  <c r="D41" i="5"/>
  <c r="C41" i="5" s="1"/>
  <c r="C49" i="45" s="1"/>
  <c r="D42" i="5"/>
  <c r="C42" i="5" s="1"/>
  <c r="C50" i="45" s="1"/>
  <c r="D43" i="5"/>
  <c r="C43" i="5" s="1"/>
  <c r="C51" i="45" s="1"/>
  <c r="D44" i="5"/>
  <c r="C44" i="5" s="1"/>
  <c r="D45" i="5"/>
  <c r="C45" i="5" s="1"/>
  <c r="D53" i="45" s="1"/>
  <c r="D46" i="5"/>
  <c r="C46" i="5" s="1"/>
  <c r="D54" i="45" s="1"/>
  <c r="D47" i="5"/>
  <c r="C47" i="5" s="1"/>
  <c r="D55" i="45" s="1"/>
  <c r="D48" i="5"/>
  <c r="C48" i="5" s="1"/>
  <c r="D56" i="45" s="1"/>
  <c r="D49" i="5"/>
  <c r="C49" i="5" s="1"/>
  <c r="D57" i="45" s="1"/>
  <c r="D50" i="5"/>
  <c r="C50" i="5" s="1"/>
  <c r="D58" i="45" s="1"/>
  <c r="D51" i="5"/>
  <c r="C51" i="5" s="1"/>
  <c r="D59" i="45" s="1"/>
  <c r="D52" i="5"/>
  <c r="C52" i="5" s="1"/>
  <c r="D60" i="45" s="1"/>
  <c r="D53" i="5"/>
  <c r="C53" i="5" s="1"/>
  <c r="D61" i="45" s="1"/>
  <c r="D54" i="5"/>
  <c r="C54" i="5" s="1"/>
  <c r="D62" i="45" s="1"/>
  <c r="D55" i="5"/>
  <c r="C55" i="5" s="1"/>
  <c r="D63" i="45" s="1"/>
  <c r="D56" i="5"/>
  <c r="C56" i="5" s="1"/>
  <c r="D64" i="45" s="1"/>
  <c r="D57" i="5"/>
  <c r="C57" i="5" s="1"/>
  <c r="D65" i="45" s="1"/>
  <c r="D58" i="5"/>
  <c r="C58" i="5" s="1"/>
  <c r="D66" i="45" s="1"/>
  <c r="D59" i="5"/>
  <c r="C59" i="5" s="1"/>
  <c r="D67" i="45" s="1"/>
  <c r="D60" i="5"/>
  <c r="C60" i="5" s="1"/>
  <c r="D68" i="45" s="1"/>
  <c r="D61" i="5"/>
  <c r="C61" i="5" s="1"/>
  <c r="D69" i="45" s="1"/>
  <c r="D62" i="5"/>
  <c r="C62" i="5" s="1"/>
  <c r="D70" i="45" s="1"/>
  <c r="D63" i="5"/>
  <c r="C63" i="5" s="1"/>
  <c r="D71" i="45" s="1"/>
  <c r="D69" i="5"/>
  <c r="C69" i="5" s="1"/>
  <c r="D77" i="45" s="1"/>
  <c r="D70" i="5"/>
  <c r="C70" i="5" s="1"/>
  <c r="D78" i="45" s="1"/>
  <c r="D71" i="5"/>
  <c r="C71" i="5" s="1"/>
  <c r="D79" i="45" s="1"/>
  <c r="D72" i="5"/>
  <c r="C72" i="5" s="1"/>
  <c r="D80" i="45" s="1"/>
  <c r="D73" i="5"/>
  <c r="C73" i="5" s="1"/>
  <c r="D81" i="45" s="1"/>
  <c r="D74" i="5"/>
  <c r="C74" i="5" s="1"/>
  <c r="D82" i="45" s="1"/>
  <c r="D75" i="5"/>
  <c r="C75" i="5" s="1"/>
  <c r="D83" i="45" s="1"/>
  <c r="D76" i="5"/>
  <c r="C76" i="5" s="1"/>
  <c r="D84" i="45" s="1"/>
  <c r="D77" i="5"/>
  <c r="C77" i="5" s="1"/>
  <c r="D85" i="45" s="1"/>
  <c r="D78" i="5"/>
  <c r="C78" i="5" s="1"/>
  <c r="D86" i="45" s="1"/>
  <c r="D79" i="5"/>
  <c r="C79" i="5" s="1"/>
  <c r="D87" i="45" s="1"/>
  <c r="D80" i="5"/>
  <c r="C80" i="5" s="1"/>
  <c r="D88" i="45" s="1"/>
  <c r="D81" i="5"/>
  <c r="C81" i="5" s="1"/>
  <c r="D89" i="45" s="1"/>
  <c r="D82" i="5"/>
  <c r="C82" i="5" s="1"/>
  <c r="D90" i="45" s="1"/>
  <c r="D83" i="5"/>
  <c r="C83" i="5" s="1"/>
  <c r="D91" i="45" s="1"/>
  <c r="D84" i="5"/>
  <c r="C84" i="5" s="1"/>
  <c r="D92" i="45" s="1"/>
  <c r="D85" i="5"/>
  <c r="C85" i="5" s="1"/>
  <c r="D93" i="45" s="1"/>
  <c r="D86" i="5"/>
  <c r="C86" i="5" s="1"/>
  <c r="D94" i="45" s="1"/>
  <c r="D87" i="5"/>
  <c r="C87" i="5" s="1"/>
  <c r="D95" i="45" s="1"/>
  <c r="D88" i="5"/>
  <c r="C88" i="5" s="1"/>
  <c r="D96" i="45" s="1"/>
  <c r="D89" i="5"/>
  <c r="C89" i="5" s="1"/>
  <c r="D97" i="45" s="1"/>
  <c r="D90" i="5"/>
  <c r="C90" i="5" s="1"/>
  <c r="D98" i="45" s="1"/>
  <c r="D91" i="5"/>
  <c r="C91" i="5" s="1"/>
  <c r="D99" i="45" s="1"/>
  <c r="D92" i="5"/>
  <c r="C92" i="5" s="1"/>
  <c r="D100" i="45" s="1"/>
  <c r="D93" i="5"/>
  <c r="C93" i="5" s="1"/>
  <c r="D101" i="45" s="1"/>
  <c r="D94" i="5"/>
  <c r="C94" i="5" s="1"/>
  <c r="D102" i="45" s="1"/>
  <c r="D95" i="5"/>
  <c r="C95" i="5" s="1"/>
  <c r="D103" i="45" s="1"/>
  <c r="D96" i="5"/>
  <c r="C96" i="5" s="1"/>
  <c r="D104" i="45" s="1"/>
  <c r="D97" i="5"/>
  <c r="C97" i="5" s="1"/>
  <c r="D105" i="45" s="1"/>
  <c r="D97" i="8"/>
  <c r="C97" i="8" s="1"/>
  <c r="D96" i="8"/>
  <c r="C96" i="8" s="1"/>
  <c r="R104" i="45" s="1"/>
  <c r="D95" i="8"/>
  <c r="C95" i="8" s="1"/>
  <c r="R103" i="45" s="1"/>
  <c r="D94" i="8"/>
  <c r="C94" i="8" s="1"/>
  <c r="R102" i="45" s="1"/>
  <c r="D93" i="8"/>
  <c r="C93" i="8" s="1"/>
  <c r="R101" i="45" s="1"/>
  <c r="D92" i="8"/>
  <c r="C92" i="8" s="1"/>
  <c r="R100" i="45" s="1"/>
  <c r="D91" i="8"/>
  <c r="C91" i="8" s="1"/>
  <c r="R99" i="45" s="1"/>
  <c r="D90" i="8"/>
  <c r="C90" i="8" s="1"/>
  <c r="R98" i="45" s="1"/>
  <c r="D89" i="8"/>
  <c r="C89" i="8" s="1"/>
  <c r="R97" i="45" s="1"/>
  <c r="D88" i="8"/>
  <c r="C88" i="8" s="1"/>
  <c r="R96" i="45" s="1"/>
  <c r="D87" i="8"/>
  <c r="C87" i="8" s="1"/>
  <c r="R95" i="45" s="1"/>
  <c r="D86" i="8"/>
  <c r="C86" i="8" s="1"/>
  <c r="R94" i="45" s="1"/>
  <c r="D85" i="8"/>
  <c r="C85" i="8" s="1"/>
  <c r="R93" i="45" s="1"/>
  <c r="D84" i="8"/>
  <c r="C84" i="8" s="1"/>
  <c r="R92" i="45" s="1"/>
  <c r="D83" i="8"/>
  <c r="C83" i="8" s="1"/>
  <c r="R91" i="45" s="1"/>
  <c r="D82" i="8"/>
  <c r="C82" i="8" s="1"/>
  <c r="R90" i="45" s="1"/>
  <c r="D81" i="8"/>
  <c r="C81" i="8" s="1"/>
  <c r="R89" i="45" s="1"/>
  <c r="D80" i="8"/>
  <c r="C80" i="8" s="1"/>
  <c r="R88" i="45" s="1"/>
  <c r="D79" i="8"/>
  <c r="C79" i="8" s="1"/>
  <c r="R87" i="45" s="1"/>
  <c r="D78" i="8"/>
  <c r="C78" i="8" s="1"/>
  <c r="R86" i="45" s="1"/>
  <c r="D77" i="8"/>
  <c r="C77" i="8" s="1"/>
  <c r="R85" i="45" s="1"/>
  <c r="D76" i="8"/>
  <c r="C76" i="8" s="1"/>
  <c r="R84" i="45" s="1"/>
  <c r="D74" i="8"/>
  <c r="C74" i="8" s="1"/>
  <c r="R82" i="45" s="1"/>
  <c r="D73" i="8"/>
  <c r="C73" i="8" s="1"/>
  <c r="R81" i="45" s="1"/>
  <c r="D72" i="8"/>
  <c r="C72" i="8" s="1"/>
  <c r="R80" i="45" s="1"/>
  <c r="D71" i="8"/>
  <c r="C71" i="8" s="1"/>
  <c r="R79" i="45" s="1"/>
  <c r="D70" i="8"/>
  <c r="C70" i="8" s="1"/>
  <c r="R78" i="45" s="1"/>
  <c r="D69" i="8"/>
  <c r="C69" i="8" s="1"/>
  <c r="R77" i="45" s="1"/>
  <c r="D63" i="8"/>
  <c r="C63" i="8" s="1"/>
  <c r="R71" i="45" s="1"/>
  <c r="D62" i="8"/>
  <c r="C62" i="8" s="1"/>
  <c r="R70" i="45" s="1"/>
  <c r="D61" i="8"/>
  <c r="C61" i="8" s="1"/>
  <c r="R69" i="45" s="1"/>
  <c r="D60" i="8"/>
  <c r="C60" i="8" s="1"/>
  <c r="R68" i="45" s="1"/>
  <c r="D59" i="8"/>
  <c r="C59" i="8" s="1"/>
  <c r="R67" i="45" s="1"/>
  <c r="D58" i="8"/>
  <c r="C58" i="8" s="1"/>
  <c r="R66" i="45" s="1"/>
  <c r="D57" i="8"/>
  <c r="C57" i="8" s="1"/>
  <c r="R65" i="45" s="1"/>
  <c r="D56" i="8"/>
  <c r="C56" i="8" s="1"/>
  <c r="R64" i="45" s="1"/>
  <c r="D55" i="8"/>
  <c r="C55" i="8" s="1"/>
  <c r="R63" i="45" s="1"/>
  <c r="D54" i="8"/>
  <c r="C54" i="8" s="1"/>
  <c r="R62" i="45" s="1"/>
  <c r="D53" i="8"/>
  <c r="C53" i="8" s="1"/>
  <c r="R61" i="45" s="1"/>
  <c r="D52" i="8"/>
  <c r="C52" i="8" s="1"/>
  <c r="R60" i="45" s="1"/>
  <c r="I51" i="8"/>
  <c r="D51" i="8" s="1"/>
  <c r="C51" i="8" s="1"/>
  <c r="R59" i="45" s="1"/>
  <c r="T50" i="8"/>
  <c r="S50" i="8"/>
  <c r="P50" i="8"/>
  <c r="O50" i="8"/>
  <c r="M50" i="8"/>
  <c r="K50" i="8"/>
  <c r="J50" i="8"/>
  <c r="I50" i="8"/>
  <c r="T49" i="8"/>
  <c r="S49" i="8"/>
  <c r="P49" i="8"/>
  <c r="O49" i="8"/>
  <c r="N49" i="8"/>
  <c r="M49" i="8"/>
  <c r="L49" i="8"/>
  <c r="K49" i="8"/>
  <c r="I49" i="8"/>
  <c r="S48" i="8"/>
  <c r="R48" i="8"/>
  <c r="Q48" i="8"/>
  <c r="P48" i="8"/>
  <c r="O48" i="8"/>
  <c r="N48" i="8"/>
  <c r="M48" i="8"/>
  <c r="L48" i="8"/>
  <c r="J48" i="8"/>
  <c r="I48" i="8"/>
  <c r="S47" i="8"/>
  <c r="R47" i="8"/>
  <c r="Q47" i="8"/>
  <c r="P47" i="8"/>
  <c r="O47" i="8"/>
  <c r="N47" i="8"/>
  <c r="M47" i="8"/>
  <c r="L47" i="8"/>
  <c r="T46" i="8"/>
  <c r="S46" i="8"/>
  <c r="R46" i="8"/>
  <c r="P46" i="8"/>
  <c r="N46" i="8"/>
  <c r="L46" i="8"/>
  <c r="K46" i="8"/>
  <c r="J46" i="8"/>
  <c r="I46" i="8"/>
  <c r="T45" i="8"/>
  <c r="S45" i="8"/>
  <c r="O45" i="8"/>
  <c r="L45" i="8"/>
  <c r="K45" i="8"/>
  <c r="J45" i="8"/>
  <c r="I45" i="8"/>
  <c r="T44" i="8"/>
  <c r="S44" i="8"/>
  <c r="R44" i="8"/>
  <c r="P44" i="8"/>
  <c r="O44" i="8"/>
  <c r="N44" i="8"/>
  <c r="M44" i="8"/>
  <c r="L44" i="8"/>
  <c r="J44" i="8"/>
  <c r="T43" i="8"/>
  <c r="R43" i="8"/>
  <c r="P43" i="8"/>
  <c r="O43" i="8"/>
  <c r="N43" i="8"/>
  <c r="L43" i="8"/>
  <c r="K43" i="8"/>
  <c r="I43" i="8"/>
  <c r="T42" i="8"/>
  <c r="S42" i="8"/>
  <c r="Q42" i="8"/>
  <c r="P42" i="8"/>
  <c r="O42" i="8"/>
  <c r="N42" i="8"/>
  <c r="M42" i="8"/>
  <c r="L42" i="8"/>
  <c r="K42" i="8"/>
  <c r="J42" i="8"/>
  <c r="I42" i="8"/>
  <c r="T41" i="8"/>
  <c r="S41" i="8"/>
  <c r="R41" i="8"/>
  <c r="Q41" i="8"/>
  <c r="P41" i="8"/>
  <c r="O41" i="8"/>
  <c r="N41" i="8"/>
  <c r="M41" i="8"/>
  <c r="L41" i="8"/>
  <c r="K41" i="8"/>
  <c r="J41" i="8"/>
  <c r="I41" i="8"/>
  <c r="S40" i="8"/>
  <c r="R40" i="8"/>
  <c r="Q40" i="8"/>
  <c r="P40" i="8"/>
  <c r="O40" i="8"/>
  <c r="N40" i="8"/>
  <c r="M40" i="8"/>
  <c r="L40" i="8"/>
  <c r="I40" i="8"/>
  <c r="T39" i="8"/>
  <c r="R39" i="8"/>
  <c r="P39" i="8"/>
  <c r="O39" i="8"/>
  <c r="N39" i="8"/>
  <c r="M39" i="8"/>
  <c r="L39" i="8"/>
  <c r="I39" i="8"/>
  <c r="T38" i="8"/>
  <c r="S38" i="8"/>
  <c r="R38" i="8"/>
  <c r="P38" i="8"/>
  <c r="O38" i="8"/>
  <c r="N38" i="8"/>
  <c r="M38" i="8"/>
  <c r="L38" i="8"/>
  <c r="K38" i="8"/>
  <c r="J38" i="8"/>
  <c r="I38" i="8"/>
  <c r="T37" i="8"/>
  <c r="S37" i="8"/>
  <c r="R37" i="8"/>
  <c r="Q37" i="8"/>
  <c r="P37" i="8"/>
  <c r="O37" i="8"/>
  <c r="N37" i="8"/>
  <c r="M37" i="8"/>
  <c r="L37" i="8"/>
  <c r="J37" i="8"/>
  <c r="I37" i="8"/>
  <c r="T36" i="8"/>
  <c r="Q36" i="8"/>
  <c r="P36" i="8"/>
  <c r="O36" i="8"/>
  <c r="N36" i="8"/>
  <c r="M36" i="8"/>
  <c r="L36" i="8"/>
  <c r="J36" i="8"/>
  <c r="I36" i="8"/>
  <c r="T35" i="8"/>
  <c r="S35" i="8"/>
  <c r="R35" i="8"/>
  <c r="Q35" i="8"/>
  <c r="P35" i="8"/>
  <c r="O35" i="8"/>
  <c r="N35" i="8"/>
  <c r="M35" i="8"/>
  <c r="L35" i="8"/>
  <c r="K35" i="8"/>
  <c r="I35" i="8"/>
  <c r="T34" i="8"/>
  <c r="S34" i="8"/>
  <c r="R34" i="8"/>
  <c r="Q34" i="8"/>
  <c r="P34" i="8"/>
  <c r="O34" i="8"/>
  <c r="L34" i="8"/>
  <c r="K34" i="8"/>
  <c r="J34" i="8"/>
  <c r="I34" i="8"/>
  <c r="T33" i="8"/>
  <c r="R33" i="8"/>
  <c r="P33" i="8"/>
  <c r="O33" i="8"/>
  <c r="N33" i="8"/>
  <c r="M33" i="8"/>
  <c r="L33" i="8"/>
  <c r="K33" i="8"/>
  <c r="J33" i="8"/>
  <c r="I33" i="8"/>
  <c r="T32" i="8"/>
  <c r="S32" i="8"/>
  <c r="R32" i="8"/>
  <c r="Q32" i="8"/>
  <c r="P32" i="8"/>
  <c r="O32" i="8"/>
  <c r="N32" i="8"/>
  <c r="M32" i="8"/>
  <c r="L32" i="8"/>
  <c r="J32" i="8"/>
  <c r="I32" i="8"/>
  <c r="S31" i="8"/>
  <c r="Q31" i="8"/>
  <c r="O31" i="8"/>
  <c r="N31" i="8"/>
  <c r="I31" i="8"/>
  <c r="S30" i="8"/>
  <c r="L30" i="8"/>
  <c r="J30" i="8"/>
  <c r="I30" i="8"/>
  <c r="T29" i="8"/>
  <c r="S29" i="8"/>
  <c r="R29" i="8"/>
  <c r="Q29" i="8"/>
  <c r="P29" i="8"/>
  <c r="L29" i="8"/>
  <c r="K29" i="8"/>
  <c r="J29" i="8"/>
  <c r="I29" i="8"/>
  <c r="T28" i="8"/>
  <c r="L28" i="8"/>
  <c r="K28" i="8"/>
  <c r="J28" i="8"/>
  <c r="I28" i="8"/>
  <c r="T27" i="8"/>
  <c r="S27" i="8"/>
  <c r="L27" i="8"/>
  <c r="T26" i="8"/>
  <c r="R26" i="8"/>
  <c r="Q26" i="8"/>
  <c r="P26" i="8"/>
  <c r="O26" i="8"/>
  <c r="N26" i="8"/>
  <c r="M26" i="8"/>
  <c r="L26" i="8"/>
  <c r="J26" i="8"/>
  <c r="I26" i="8"/>
  <c r="R25" i="8"/>
  <c r="Q25" i="8"/>
  <c r="P25" i="8"/>
  <c r="N25" i="8"/>
  <c r="M25" i="8"/>
  <c r="L25" i="8"/>
  <c r="K25" i="8"/>
  <c r="J25" i="8"/>
  <c r="I25" i="8"/>
  <c r="T24" i="8"/>
  <c r="S24" i="8"/>
  <c r="R24" i="8"/>
  <c r="Q24" i="8"/>
  <c r="P24" i="8"/>
  <c r="O24" i="8"/>
  <c r="N24" i="8"/>
  <c r="M24" i="8"/>
  <c r="L24" i="8"/>
  <c r="K24" i="8"/>
  <c r="J24" i="8"/>
  <c r="I24" i="8"/>
  <c r="T23" i="8"/>
  <c r="S23" i="8"/>
  <c r="R23" i="8"/>
  <c r="Q23" i="8"/>
  <c r="P23" i="8"/>
  <c r="N23" i="8"/>
  <c r="M23" i="8"/>
  <c r="L23" i="8"/>
  <c r="K23" i="8"/>
  <c r="I23" i="8"/>
  <c r="T22" i="8"/>
  <c r="S22" i="8"/>
  <c r="R22" i="8"/>
  <c r="Q22" i="8"/>
  <c r="P22" i="8"/>
  <c r="O22" i="8"/>
  <c r="K22" i="8"/>
  <c r="I22" i="8"/>
  <c r="T21" i="8"/>
  <c r="S21" i="8"/>
  <c r="R21" i="8"/>
  <c r="Q21" i="8"/>
  <c r="O21" i="8"/>
  <c r="N21" i="8"/>
  <c r="L21" i="8"/>
  <c r="K21" i="8"/>
  <c r="J21" i="8"/>
  <c r="T20" i="8"/>
  <c r="S20" i="8"/>
  <c r="R20" i="8"/>
  <c r="Q20" i="8"/>
  <c r="P20" i="8"/>
  <c r="N20" i="8"/>
  <c r="M20" i="8"/>
  <c r="L20" i="8"/>
  <c r="K20" i="8"/>
  <c r="J20" i="8"/>
  <c r="I20" i="8"/>
  <c r="T19" i="8"/>
  <c r="S19" i="8"/>
  <c r="Q19" i="8"/>
  <c r="P19" i="8"/>
  <c r="O19" i="8"/>
  <c r="N19" i="8"/>
  <c r="M19" i="8"/>
  <c r="L19" i="8"/>
  <c r="K19" i="8"/>
  <c r="I19" i="8"/>
  <c r="T18" i="8"/>
  <c r="S18" i="8"/>
  <c r="R18" i="8"/>
  <c r="Q18" i="8"/>
  <c r="P18" i="8"/>
  <c r="O18" i="8"/>
  <c r="N18" i="8"/>
  <c r="M18" i="8"/>
  <c r="L18" i="8"/>
  <c r="K18" i="8"/>
  <c r="J18" i="8"/>
  <c r="I18" i="8"/>
  <c r="T17" i="8"/>
  <c r="S17" i="8"/>
  <c r="R17" i="8"/>
  <c r="Q17" i="8"/>
  <c r="P17" i="8"/>
  <c r="O17" i="8"/>
  <c r="N17" i="8"/>
  <c r="M17" i="8"/>
  <c r="L17" i="8"/>
  <c r="K17" i="8"/>
  <c r="J17" i="8"/>
  <c r="I17" i="8"/>
  <c r="T16" i="8"/>
  <c r="S16" i="8"/>
  <c r="R16" i="8"/>
  <c r="Q16" i="8"/>
  <c r="P16" i="8"/>
  <c r="N16" i="8"/>
  <c r="J16" i="8"/>
  <c r="I16" i="8"/>
  <c r="T15" i="8"/>
  <c r="R15" i="8"/>
  <c r="Q15" i="8"/>
  <c r="O15" i="8"/>
  <c r="N15" i="8"/>
  <c r="M15" i="8"/>
  <c r="L15" i="8"/>
  <c r="K15" i="8"/>
  <c r="T14" i="8"/>
  <c r="S14" i="8"/>
  <c r="R14" i="8"/>
  <c r="Q14" i="8"/>
  <c r="P14" i="8"/>
  <c r="O14" i="8"/>
  <c r="N14" i="8"/>
  <c r="M14" i="8"/>
  <c r="L14" i="8"/>
  <c r="K14" i="8"/>
  <c r="O13" i="8"/>
  <c r="N13" i="8"/>
  <c r="L13" i="8"/>
  <c r="K13" i="8"/>
  <c r="J13" i="8"/>
  <c r="I13" i="8"/>
  <c r="T12" i="8"/>
  <c r="S12" i="8"/>
  <c r="R12" i="8"/>
  <c r="Q12" i="8"/>
  <c r="P12" i="8"/>
  <c r="O12" i="8"/>
  <c r="N12" i="8"/>
  <c r="L12" i="8"/>
  <c r="J12" i="8"/>
  <c r="I12" i="8"/>
  <c r="T11" i="8"/>
  <c r="S11" i="8"/>
  <c r="R11" i="8"/>
  <c r="Q11" i="8"/>
  <c r="P11" i="8"/>
  <c r="N11" i="8"/>
  <c r="M11" i="8"/>
  <c r="L11" i="8"/>
  <c r="I11" i="8"/>
  <c r="T10" i="8"/>
  <c r="N10" i="8"/>
  <c r="L10" i="8"/>
  <c r="K10" i="8"/>
  <c r="J10" i="8"/>
  <c r="I10" i="8"/>
  <c r="T9" i="8"/>
  <c r="S9" i="8"/>
  <c r="Q9" i="8"/>
  <c r="O9" i="8"/>
  <c r="M9" i="8"/>
  <c r="K9" i="8"/>
  <c r="I9" i="8"/>
  <c r="T8" i="8"/>
  <c r="S8" i="8"/>
  <c r="R8" i="8"/>
  <c r="P8" i="8"/>
  <c r="N8" i="8"/>
  <c r="L8" i="8"/>
  <c r="K8" i="8"/>
  <c r="J8" i="8"/>
  <c r="T7" i="8"/>
  <c r="S7" i="8"/>
  <c r="Q7" i="8"/>
  <c r="P7" i="8"/>
  <c r="N7" i="8"/>
  <c r="L7" i="8"/>
  <c r="K7" i="8"/>
  <c r="T6" i="8"/>
  <c r="S6" i="8"/>
  <c r="R6" i="8"/>
  <c r="Q6" i="8"/>
  <c r="P6" i="8"/>
  <c r="O6" i="8"/>
  <c r="N6" i="8"/>
  <c r="M6" i="8"/>
  <c r="L6" i="8"/>
  <c r="K6" i="8"/>
  <c r="J6" i="8"/>
  <c r="I6" i="8"/>
  <c r="T5" i="8"/>
  <c r="S5" i="8"/>
  <c r="R5" i="8"/>
  <c r="Q5" i="8"/>
  <c r="P5" i="8"/>
  <c r="O5" i="8"/>
  <c r="K5" i="8"/>
  <c r="J5" i="8"/>
  <c r="I5" i="8"/>
  <c r="T4" i="8"/>
  <c r="Q4" i="8"/>
  <c r="P4" i="8"/>
  <c r="O4" i="8"/>
  <c r="N4" i="8"/>
  <c r="L4" i="8"/>
  <c r="K4" i="8"/>
  <c r="J4" i="8"/>
  <c r="I4" i="8"/>
  <c r="T3" i="8"/>
  <c r="D3" i="8" s="1"/>
  <c r="C3" i="8" s="1"/>
  <c r="D91" i="7"/>
  <c r="C91" i="7" s="1"/>
  <c r="Q105" i="45" s="1"/>
  <c r="D90" i="7"/>
  <c r="C90" i="7" s="1"/>
  <c r="Q104" i="45" s="1"/>
  <c r="D89" i="7"/>
  <c r="C89" i="7" s="1"/>
  <c r="Q103" i="45" s="1"/>
  <c r="D88" i="7"/>
  <c r="C88" i="7" s="1"/>
  <c r="Q102" i="45" s="1"/>
  <c r="D87" i="7"/>
  <c r="C87" i="7" s="1"/>
  <c r="Q101" i="45" s="1"/>
  <c r="D86" i="7"/>
  <c r="C86" i="7" s="1"/>
  <c r="Q100" i="45" s="1"/>
  <c r="D85" i="7"/>
  <c r="C85" i="7" s="1"/>
  <c r="Q99" i="45" s="1"/>
  <c r="D84" i="7"/>
  <c r="C84" i="7" s="1"/>
  <c r="Q98" i="45" s="1"/>
  <c r="D83" i="7"/>
  <c r="C83" i="7" s="1"/>
  <c r="Q97" i="45" s="1"/>
  <c r="D82" i="7"/>
  <c r="C82" i="7" s="1"/>
  <c r="Q96" i="45" s="1"/>
  <c r="D81" i="7"/>
  <c r="C81" i="7" s="1"/>
  <c r="Q95" i="45" s="1"/>
  <c r="D80" i="7"/>
  <c r="C80" i="7" s="1"/>
  <c r="Q94" i="45" s="1"/>
  <c r="D79" i="7"/>
  <c r="C79" i="7" s="1"/>
  <c r="Q93" i="45" s="1"/>
  <c r="D78" i="7"/>
  <c r="C78" i="7" s="1"/>
  <c r="Q92" i="45" s="1"/>
  <c r="D77" i="7"/>
  <c r="C77" i="7" s="1"/>
  <c r="Q91" i="45" s="1"/>
  <c r="D76" i="7"/>
  <c r="C76" i="7" s="1"/>
  <c r="Q90" i="45" s="1"/>
  <c r="D75" i="7"/>
  <c r="C75" i="7" s="1"/>
  <c r="Q89" i="45" s="1"/>
  <c r="D74" i="7"/>
  <c r="C74" i="7" s="1"/>
  <c r="Q88" i="45" s="1"/>
  <c r="D73" i="7"/>
  <c r="C73" i="7" s="1"/>
  <c r="Q87" i="45" s="1"/>
  <c r="D72" i="7"/>
  <c r="C72" i="7" s="1"/>
  <c r="Q86" i="45" s="1"/>
  <c r="D71" i="7"/>
  <c r="C71" i="7" s="1"/>
  <c r="Q85" i="45" s="1"/>
  <c r="D70" i="7"/>
  <c r="C70" i="7" s="1"/>
  <c r="Q84" i="45" s="1"/>
  <c r="D69" i="7"/>
  <c r="C69" i="7" s="1"/>
  <c r="Q83" i="45" s="1"/>
  <c r="D68" i="7"/>
  <c r="C68" i="7" s="1"/>
  <c r="Q82" i="45" s="1"/>
  <c r="D67" i="7"/>
  <c r="C67" i="7" s="1"/>
  <c r="Q81" i="45" s="1"/>
  <c r="D66" i="7"/>
  <c r="C66" i="7" s="1"/>
  <c r="Q80" i="45" s="1"/>
  <c r="D65" i="7"/>
  <c r="C65" i="7" s="1"/>
  <c r="Q79" i="45" s="1"/>
  <c r="D64" i="7"/>
  <c r="C64" i="7" s="1"/>
  <c r="Q78" i="45" s="1"/>
  <c r="D63" i="7"/>
  <c r="C63" i="7" s="1"/>
  <c r="Q77" i="45" s="1"/>
  <c r="D62" i="7"/>
  <c r="C62" i="7" s="1"/>
  <c r="Q76" i="45" s="1"/>
  <c r="D61" i="7"/>
  <c r="C61" i="7" s="1"/>
  <c r="Q75" i="45" s="1"/>
  <c r="D60" i="7"/>
  <c r="C60" i="7" s="1"/>
  <c r="Q74" i="45" s="1"/>
  <c r="D59" i="7"/>
  <c r="C59" i="7" s="1"/>
  <c r="Q73" i="45" s="1"/>
  <c r="D58" i="7"/>
  <c r="C58" i="7" s="1"/>
  <c r="Q72" i="45" s="1"/>
  <c r="D57" i="7"/>
  <c r="C57" i="7" s="1"/>
  <c r="Q71" i="45" s="1"/>
  <c r="D56" i="7"/>
  <c r="C56" i="7" s="1"/>
  <c r="Q70" i="45" s="1"/>
  <c r="D55" i="7"/>
  <c r="C55" i="7" s="1"/>
  <c r="Q69" i="45" s="1"/>
  <c r="D54" i="7"/>
  <c r="C54" i="7" s="1"/>
  <c r="Q68" i="45" s="1"/>
  <c r="D53" i="7"/>
  <c r="C53" i="7" s="1"/>
  <c r="Q67" i="45" s="1"/>
  <c r="D52" i="7"/>
  <c r="C52" i="7" s="1"/>
  <c r="Q66" i="45" s="1"/>
  <c r="D51" i="7"/>
  <c r="C51" i="7" s="1"/>
  <c r="Q65" i="45" s="1"/>
  <c r="D50" i="7"/>
  <c r="C50" i="7" s="1"/>
  <c r="Q64" i="45" s="1"/>
  <c r="D49" i="7"/>
  <c r="C49" i="7" s="1"/>
  <c r="Q63" i="45" s="1"/>
  <c r="D48" i="7"/>
  <c r="C48" i="7" s="1"/>
  <c r="Q62" i="45" s="1"/>
  <c r="D47" i="7"/>
  <c r="C47" i="7" s="1"/>
  <c r="Q61" i="45" s="1"/>
  <c r="D46" i="7"/>
  <c r="C46" i="7" s="1"/>
  <c r="Q60" i="45" s="1"/>
  <c r="D45" i="7"/>
  <c r="C45" i="7" s="1"/>
  <c r="Q59" i="45" s="1"/>
  <c r="D44" i="7"/>
  <c r="C44" i="7" s="1"/>
  <c r="Q58" i="45" s="1"/>
  <c r="D43" i="7"/>
  <c r="C43" i="7" s="1"/>
  <c r="Q57" i="45" s="1"/>
  <c r="D42" i="7"/>
  <c r="C42" i="7" s="1"/>
  <c r="Q56" i="45" s="1"/>
  <c r="D41" i="7"/>
  <c r="C41" i="7" s="1"/>
  <c r="Q55" i="45" s="1"/>
  <c r="D40" i="7"/>
  <c r="C40" i="7" s="1"/>
  <c r="Q54" i="45" s="1"/>
  <c r="D39" i="7"/>
  <c r="C39" i="7" s="1"/>
  <c r="Q53" i="45" s="1"/>
  <c r="D38" i="7"/>
  <c r="C38" i="7" s="1"/>
  <c r="Q52" i="45" s="1"/>
  <c r="D37" i="7"/>
  <c r="C37" i="7" s="1"/>
  <c r="Q51" i="45" s="1"/>
  <c r="D36" i="7"/>
  <c r="C36" i="7" s="1"/>
  <c r="Q50" i="45" s="1"/>
  <c r="D35" i="7"/>
  <c r="C35" i="7" s="1"/>
  <c r="Q49" i="45" s="1"/>
  <c r="D34" i="7"/>
  <c r="C34" i="7" s="1"/>
  <c r="Q48" i="45" s="1"/>
  <c r="D33" i="7"/>
  <c r="C33" i="7" s="1"/>
  <c r="Q47" i="45" s="1"/>
  <c r="D32" i="7"/>
  <c r="C32" i="7" s="1"/>
  <c r="Q46" i="45" s="1"/>
  <c r="D31" i="7"/>
  <c r="C31" i="7" s="1"/>
  <c r="Q45" i="45" s="1"/>
  <c r="D30" i="7"/>
  <c r="C30" i="7" s="1"/>
  <c r="Q44" i="45" s="1"/>
  <c r="D29" i="7"/>
  <c r="C29" i="7" s="1"/>
  <c r="Q43" i="45" s="1"/>
  <c r="D28" i="7"/>
  <c r="C28" i="7" s="1"/>
  <c r="Q42" i="45" s="1"/>
  <c r="D27" i="7"/>
  <c r="C27" i="7" s="1"/>
  <c r="Q41" i="45" s="1"/>
  <c r="D26" i="7"/>
  <c r="C26" i="7" s="1"/>
  <c r="Q40" i="45" s="1"/>
  <c r="D25" i="7"/>
  <c r="C25" i="7" s="1"/>
  <c r="Q39" i="45" s="1"/>
  <c r="D24" i="7"/>
  <c r="C24" i="7" s="1"/>
  <c r="Q38" i="45" s="1"/>
  <c r="D23" i="7"/>
  <c r="C23" i="7" s="1"/>
  <c r="Q37" i="45" s="1"/>
  <c r="D22" i="7"/>
  <c r="C22" i="7" s="1"/>
  <c r="Q36" i="45" s="1"/>
  <c r="D21" i="7"/>
  <c r="C21" i="7" s="1"/>
  <c r="Q35" i="45" s="1"/>
  <c r="D20" i="7"/>
  <c r="C20" i="7" s="1"/>
  <c r="Q34" i="45" s="1"/>
  <c r="D19" i="7"/>
  <c r="C19" i="7" s="1"/>
  <c r="Q33" i="45" s="1"/>
  <c r="D18" i="7"/>
  <c r="C18" i="7" s="1"/>
  <c r="Q32" i="45" s="1"/>
  <c r="D17" i="7"/>
  <c r="C17" i="7" s="1"/>
  <c r="Q31" i="45" s="1"/>
  <c r="D16" i="7"/>
  <c r="C16" i="7" s="1"/>
  <c r="Q30" i="45" s="1"/>
  <c r="D15" i="7"/>
  <c r="C15" i="7" s="1"/>
  <c r="Q29" i="45" s="1"/>
  <c r="D14" i="7"/>
  <c r="C14" i="7" s="1"/>
  <c r="Q28" i="45" s="1"/>
  <c r="D13" i="7"/>
  <c r="C13" i="7" s="1"/>
  <c r="Q27" i="45" s="1"/>
  <c r="D12" i="7"/>
  <c r="C12" i="7" s="1"/>
  <c r="Q26" i="45" s="1"/>
  <c r="D11" i="7"/>
  <c r="C11" i="7" s="1"/>
  <c r="Q25" i="45" s="1"/>
  <c r="D10" i="7"/>
  <c r="C10" i="7" s="1"/>
  <c r="Q24" i="45" s="1"/>
  <c r="D9" i="7"/>
  <c r="C9" i="7" s="1"/>
  <c r="Q23" i="45" s="1"/>
  <c r="D8" i="7"/>
  <c r="C8" i="7" s="1"/>
  <c r="Q22" i="45" s="1"/>
  <c r="D7" i="7"/>
  <c r="C7" i="7" s="1"/>
  <c r="Q21" i="45" s="1"/>
  <c r="D6" i="7"/>
  <c r="C6" i="7" s="1"/>
  <c r="Q20" i="45" s="1"/>
  <c r="C5" i="7"/>
  <c r="Q19" i="45" s="1"/>
  <c r="D4" i="7"/>
  <c r="C4" i="7" s="1"/>
  <c r="Q18" i="45" s="1"/>
  <c r="D3" i="7"/>
  <c r="C3" i="7" s="1"/>
  <c r="Q17" i="45" s="1"/>
  <c r="D97" i="6"/>
  <c r="C97" i="6" s="1"/>
  <c r="D96" i="6"/>
  <c r="C96" i="6" s="1"/>
  <c r="D95" i="6"/>
  <c r="C95" i="6" s="1"/>
  <c r="E103" i="45" s="1"/>
  <c r="D94" i="6"/>
  <c r="C94" i="6" s="1"/>
  <c r="E102" i="45" s="1"/>
  <c r="D93" i="6"/>
  <c r="C93" i="6" s="1"/>
  <c r="D92" i="6"/>
  <c r="C92" i="6" s="1"/>
  <c r="D91" i="6"/>
  <c r="C91" i="6" s="1"/>
  <c r="E99" i="45" s="1"/>
  <c r="D90" i="6"/>
  <c r="C90" i="6" s="1"/>
  <c r="E98" i="45" s="1"/>
  <c r="D89" i="6"/>
  <c r="C89" i="6" s="1"/>
  <c r="D88" i="6"/>
  <c r="C88" i="6" s="1"/>
  <c r="D87" i="6"/>
  <c r="C87" i="6" s="1"/>
  <c r="D86" i="6"/>
  <c r="C86" i="6" s="1"/>
  <c r="D85" i="6"/>
  <c r="C85" i="6" s="1"/>
  <c r="D84" i="6"/>
  <c r="C84" i="6" s="1"/>
  <c r="D83" i="6"/>
  <c r="C83" i="6" s="1"/>
  <c r="E91" i="45" s="1"/>
  <c r="D82" i="6"/>
  <c r="C82" i="6" s="1"/>
  <c r="D81" i="6"/>
  <c r="C81" i="6" s="1"/>
  <c r="D80" i="6"/>
  <c r="C80" i="6" s="1"/>
  <c r="E88" i="45" s="1"/>
  <c r="D79" i="6"/>
  <c r="C79" i="6" s="1"/>
  <c r="D78" i="6"/>
  <c r="C78" i="6" s="1"/>
  <c r="D77" i="6"/>
  <c r="C77" i="6" s="1"/>
  <c r="D76" i="6"/>
  <c r="C76" i="6" s="1"/>
  <c r="D75" i="6"/>
  <c r="C75" i="6" s="1"/>
  <c r="E83" i="45" s="1"/>
  <c r="D74" i="6"/>
  <c r="C74" i="6" s="1"/>
  <c r="D73" i="6"/>
  <c r="C73" i="6" s="1"/>
  <c r="D72" i="6"/>
  <c r="C72" i="6" s="1"/>
  <c r="E80" i="45" s="1"/>
  <c r="D71" i="6"/>
  <c r="C71" i="6" s="1"/>
  <c r="D70" i="6"/>
  <c r="C70" i="6" s="1"/>
  <c r="D69" i="6"/>
  <c r="C69" i="6" s="1"/>
  <c r="D68" i="6"/>
  <c r="C68" i="6" s="1"/>
  <c r="D67" i="6"/>
  <c r="C67" i="6" s="1"/>
  <c r="E75" i="45" s="1"/>
  <c r="D66" i="6"/>
  <c r="C66" i="6" s="1"/>
  <c r="E74" i="45" s="1"/>
  <c r="D65" i="6"/>
  <c r="C65" i="6" s="1"/>
  <c r="D64" i="6"/>
  <c r="C64" i="6" s="1"/>
  <c r="D63" i="6"/>
  <c r="C63" i="6" s="1"/>
  <c r="E71" i="45" s="1"/>
  <c r="D62" i="6"/>
  <c r="C62" i="6" s="1"/>
  <c r="D61" i="6"/>
  <c r="C61" i="6" s="1"/>
  <c r="D60" i="6"/>
  <c r="C60" i="6" s="1"/>
  <c r="E68" i="45" s="1"/>
  <c r="D59" i="6"/>
  <c r="C59" i="6" s="1"/>
  <c r="D58" i="6"/>
  <c r="C58" i="6" s="1"/>
  <c r="D57" i="6"/>
  <c r="C57" i="6" s="1"/>
  <c r="D56" i="6"/>
  <c r="C56" i="6" s="1"/>
  <c r="D55" i="6"/>
  <c r="C55" i="6" s="1"/>
  <c r="D54" i="6"/>
  <c r="C54" i="6" s="1"/>
  <c r="D53" i="6"/>
  <c r="C53" i="6" s="1"/>
  <c r="D52" i="6"/>
  <c r="C52" i="6" s="1"/>
  <c r="E60" i="45" s="1"/>
  <c r="D51" i="6"/>
  <c r="C51" i="6" s="1"/>
  <c r="D50" i="6"/>
  <c r="C50" i="6" s="1"/>
  <c r="D49" i="6"/>
  <c r="C49" i="6" s="1"/>
  <c r="D48" i="6"/>
  <c r="C48" i="6" s="1"/>
  <c r="D47" i="6"/>
  <c r="C47" i="6" s="1"/>
  <c r="D46" i="6"/>
  <c r="C46" i="6" s="1"/>
  <c r="D45" i="6"/>
  <c r="C45" i="6" s="1"/>
  <c r="D44" i="6"/>
  <c r="C44" i="6" s="1"/>
  <c r="D43" i="6"/>
  <c r="C43" i="6" s="1"/>
  <c r="F43" i="6" s="1"/>
  <c r="D42" i="6"/>
  <c r="C42" i="6" s="1"/>
  <c r="F42" i="6" s="1"/>
  <c r="D41" i="6"/>
  <c r="C41" i="6" s="1"/>
  <c r="F41" i="6" s="1"/>
  <c r="D40" i="6"/>
  <c r="C40" i="6" s="1"/>
  <c r="F40" i="6" s="1"/>
  <c r="D39" i="6"/>
  <c r="C39" i="6" s="1"/>
  <c r="F39" i="6" s="1"/>
  <c r="D38" i="6"/>
  <c r="C38" i="6" s="1"/>
  <c r="F38" i="6" s="1"/>
  <c r="D37" i="6"/>
  <c r="C37" i="6" s="1"/>
  <c r="F37" i="6" s="1"/>
  <c r="D36" i="6"/>
  <c r="C36" i="6" s="1"/>
  <c r="F36" i="6" s="1"/>
  <c r="D35" i="6"/>
  <c r="C35" i="6" s="1"/>
  <c r="F35" i="6" s="1"/>
  <c r="D34" i="6"/>
  <c r="C34" i="6" s="1"/>
  <c r="F34" i="6" s="1"/>
  <c r="D33" i="6"/>
  <c r="C33" i="6" s="1"/>
  <c r="F33" i="6" s="1"/>
  <c r="D32" i="6"/>
  <c r="C32" i="6" s="1"/>
  <c r="F32" i="6" s="1"/>
  <c r="D31" i="6"/>
  <c r="C31" i="6" s="1"/>
  <c r="F31" i="6" s="1"/>
  <c r="D30" i="6"/>
  <c r="C30" i="6" s="1"/>
  <c r="F30" i="6" s="1"/>
  <c r="D29" i="6"/>
  <c r="C29" i="6" s="1"/>
  <c r="F29" i="6" s="1"/>
  <c r="D28" i="6"/>
  <c r="C28" i="6" s="1"/>
  <c r="F28" i="6" s="1"/>
  <c r="D27" i="6"/>
  <c r="C27" i="6" s="1"/>
  <c r="F27" i="6" s="1"/>
  <c r="D26" i="6"/>
  <c r="C26" i="6" s="1"/>
  <c r="F26" i="6" s="1"/>
  <c r="D25" i="6"/>
  <c r="C25" i="6" s="1"/>
  <c r="F25" i="6" s="1"/>
  <c r="D24" i="6"/>
  <c r="C24" i="6" s="1"/>
  <c r="F24" i="6" s="1"/>
  <c r="D23" i="6"/>
  <c r="C23" i="6" s="1"/>
  <c r="F23" i="6" s="1"/>
  <c r="D22" i="6"/>
  <c r="C22" i="6" s="1"/>
  <c r="D21" i="6"/>
  <c r="C21" i="6" s="1"/>
  <c r="F21" i="6" s="1"/>
  <c r="D20" i="6"/>
  <c r="C20" i="6" s="1"/>
  <c r="F20" i="6" s="1"/>
  <c r="D19" i="6"/>
  <c r="C19" i="6" s="1"/>
  <c r="F19" i="6" s="1"/>
  <c r="D18" i="6"/>
  <c r="C18" i="6" s="1"/>
  <c r="F18" i="6" s="1"/>
  <c r="D17" i="6"/>
  <c r="C17" i="6" s="1"/>
  <c r="F17" i="6" s="1"/>
  <c r="D16" i="6"/>
  <c r="C16" i="6" s="1"/>
  <c r="F16" i="6" s="1"/>
  <c r="D15" i="6"/>
  <c r="C15" i="6" s="1"/>
  <c r="F15" i="6" s="1"/>
  <c r="D14" i="6"/>
  <c r="C14" i="6" s="1"/>
  <c r="F14" i="6" s="1"/>
  <c r="D13" i="6"/>
  <c r="C13" i="6" s="1"/>
  <c r="F13" i="6" s="1"/>
  <c r="D12" i="6"/>
  <c r="C12" i="6" s="1"/>
  <c r="F12" i="6" s="1"/>
  <c r="D11" i="6"/>
  <c r="C11" i="6" s="1"/>
  <c r="F11" i="6" s="1"/>
  <c r="D10" i="6"/>
  <c r="C10" i="6" s="1"/>
  <c r="F10" i="6" s="1"/>
  <c r="D9" i="6"/>
  <c r="C9" i="6" s="1"/>
  <c r="F9" i="6" s="1"/>
  <c r="D8" i="6"/>
  <c r="C8" i="6" s="1"/>
  <c r="F8" i="6" s="1"/>
  <c r="D7" i="6"/>
  <c r="C7" i="6" s="1"/>
  <c r="F7" i="6" s="1"/>
  <c r="D6" i="6"/>
  <c r="C6" i="6" s="1"/>
  <c r="F6" i="6" s="1"/>
  <c r="D5" i="6"/>
  <c r="C5" i="6" s="1"/>
  <c r="F5" i="6" s="1"/>
  <c r="D4" i="6"/>
  <c r="C4" i="6" s="1"/>
  <c r="F4" i="6" s="1"/>
  <c r="D3" i="6"/>
  <c r="C3" i="6" s="1"/>
  <c r="F3" i="6" s="1"/>
  <c r="D3" i="5"/>
  <c r="C3" i="5" s="1"/>
  <c r="C11" i="45" s="1"/>
  <c r="D105" i="4"/>
  <c r="C105" i="4" s="1"/>
  <c r="B105" i="45" s="1"/>
  <c r="D104" i="4"/>
  <c r="C104" i="4" s="1"/>
  <c r="B104" i="45" s="1"/>
  <c r="D103" i="4"/>
  <c r="C103" i="4" s="1"/>
  <c r="B103" i="45" s="1"/>
  <c r="D102" i="4"/>
  <c r="C102" i="4" s="1"/>
  <c r="B102" i="45" s="1"/>
  <c r="D101" i="4"/>
  <c r="C101" i="4" s="1"/>
  <c r="B101" i="45" s="1"/>
  <c r="D100" i="4"/>
  <c r="C100" i="4" s="1"/>
  <c r="B100" i="45" s="1"/>
  <c r="D99" i="4"/>
  <c r="C99" i="4" s="1"/>
  <c r="B99" i="45" s="1"/>
  <c r="D98" i="4"/>
  <c r="C98" i="4" s="1"/>
  <c r="B98" i="45" s="1"/>
  <c r="D97" i="4"/>
  <c r="C97" i="4" s="1"/>
  <c r="B97" i="45" s="1"/>
  <c r="D96" i="4"/>
  <c r="C96" i="4" s="1"/>
  <c r="B96" i="45" s="1"/>
  <c r="D95" i="4"/>
  <c r="C95" i="4" s="1"/>
  <c r="B95" i="45" s="1"/>
  <c r="D94" i="4"/>
  <c r="C94" i="4" s="1"/>
  <c r="B94" i="45" s="1"/>
  <c r="D93" i="4"/>
  <c r="C93" i="4" s="1"/>
  <c r="B93" i="45" s="1"/>
  <c r="D92" i="4"/>
  <c r="C92" i="4" s="1"/>
  <c r="D91" i="4"/>
  <c r="C91" i="4" s="1"/>
  <c r="B91" i="45" s="1"/>
  <c r="D90" i="4"/>
  <c r="C90" i="4" s="1"/>
  <c r="D89" i="4"/>
  <c r="C89" i="4" s="1"/>
  <c r="B89" i="45" s="1"/>
  <c r="D88" i="4"/>
  <c r="C88" i="4" s="1"/>
  <c r="B88" i="45" s="1"/>
  <c r="D87" i="4"/>
  <c r="C87" i="4" s="1"/>
  <c r="B87" i="45" s="1"/>
  <c r="D86" i="4"/>
  <c r="C86" i="4" s="1"/>
  <c r="B86" i="45" s="1"/>
  <c r="D85" i="4"/>
  <c r="C85" i="4" s="1"/>
  <c r="B85" i="45" s="1"/>
  <c r="D84" i="4"/>
  <c r="C84" i="4" s="1"/>
  <c r="B84" i="45" s="1"/>
  <c r="D83" i="4"/>
  <c r="C83" i="4" s="1"/>
  <c r="B83" i="45" s="1"/>
  <c r="D82" i="4"/>
  <c r="C82" i="4" s="1"/>
  <c r="B82" i="45" s="1"/>
  <c r="D81" i="4"/>
  <c r="C81" i="4" s="1"/>
  <c r="B81" i="45" s="1"/>
  <c r="D80" i="4"/>
  <c r="C80" i="4" s="1"/>
  <c r="B80" i="45" s="1"/>
  <c r="D79" i="4"/>
  <c r="C79" i="4" s="1"/>
  <c r="B79" i="45" s="1"/>
  <c r="D71" i="4"/>
  <c r="C71" i="4" s="1"/>
  <c r="B71" i="45" s="1"/>
  <c r="D70" i="4"/>
  <c r="C70" i="4" s="1"/>
  <c r="D69" i="4"/>
  <c r="C69" i="4" s="1"/>
  <c r="B69" i="45" s="1"/>
  <c r="D68" i="4"/>
  <c r="C68" i="4" s="1"/>
  <c r="B68" i="45" s="1"/>
  <c r="D67" i="4"/>
  <c r="C67" i="4" s="1"/>
  <c r="B67" i="45" s="1"/>
  <c r="D66" i="4"/>
  <c r="C66" i="4" s="1"/>
  <c r="B66" i="45" s="1"/>
  <c r="D65" i="4"/>
  <c r="C65" i="4" s="1"/>
  <c r="B65" i="45" s="1"/>
  <c r="D64" i="4"/>
  <c r="C64" i="4" s="1"/>
  <c r="B64" i="45" s="1"/>
  <c r="D63" i="4"/>
  <c r="C63" i="4" s="1"/>
  <c r="B63" i="45" s="1"/>
  <c r="D62" i="4"/>
  <c r="C62" i="4" s="1"/>
  <c r="B62" i="45" s="1"/>
  <c r="D61" i="4"/>
  <c r="C61" i="4" s="1"/>
  <c r="B61" i="45" s="1"/>
  <c r="D60" i="4"/>
  <c r="C60" i="4" s="1"/>
  <c r="B60" i="45" s="1"/>
  <c r="D59" i="4"/>
  <c r="C59" i="4" s="1"/>
  <c r="B59" i="45" s="1"/>
  <c r="T58" i="4"/>
  <c r="S58" i="4"/>
  <c r="R58" i="4"/>
  <c r="Q58" i="4"/>
  <c r="O58" i="4"/>
  <c r="M58" i="4"/>
  <c r="L58" i="4"/>
  <c r="K58" i="4"/>
  <c r="J58" i="4"/>
  <c r="T57" i="4"/>
  <c r="P57" i="4"/>
  <c r="O57" i="4"/>
  <c r="N57" i="4"/>
  <c r="J57" i="4"/>
  <c r="T56" i="4"/>
  <c r="R56" i="4"/>
  <c r="P56" i="4"/>
  <c r="O56" i="4"/>
  <c r="N56" i="4"/>
  <c r="M56" i="4"/>
  <c r="L56" i="4"/>
  <c r="I56" i="4"/>
  <c r="T55" i="4"/>
  <c r="Q55" i="4"/>
  <c r="P55" i="4"/>
  <c r="O55" i="4"/>
  <c r="N55" i="4"/>
  <c r="I55" i="4"/>
  <c r="T54" i="4"/>
  <c r="S54" i="4"/>
  <c r="Q54" i="4"/>
  <c r="M54" i="4"/>
  <c r="K54" i="4"/>
  <c r="J54" i="4"/>
  <c r="I54" i="4"/>
  <c r="S53" i="4"/>
  <c r="R53" i="4"/>
  <c r="N53" i="4"/>
  <c r="M53" i="4"/>
  <c r="J53" i="4"/>
  <c r="I53" i="4"/>
  <c r="T52" i="4"/>
  <c r="S52" i="4"/>
  <c r="Q52" i="4"/>
  <c r="O52" i="4"/>
  <c r="M52" i="4"/>
  <c r="L52" i="4"/>
  <c r="K52" i="4"/>
  <c r="J52" i="4"/>
  <c r="I52" i="4"/>
  <c r="T51" i="4"/>
  <c r="S51" i="4"/>
  <c r="R51" i="4"/>
  <c r="Q51" i="4"/>
  <c r="P51" i="4"/>
  <c r="O51" i="4"/>
  <c r="N51" i="4"/>
  <c r="M51" i="4"/>
  <c r="L51" i="4"/>
  <c r="I51" i="4"/>
  <c r="T50" i="4"/>
  <c r="Q50" i="4"/>
  <c r="O50" i="4"/>
  <c r="N50" i="4"/>
  <c r="M50" i="4"/>
  <c r="L50" i="4"/>
  <c r="K50" i="4"/>
  <c r="I50" i="4"/>
  <c r="S49" i="4"/>
  <c r="P49" i="4"/>
  <c r="O49" i="4"/>
  <c r="N49" i="4"/>
  <c r="M49" i="4"/>
  <c r="J49" i="4"/>
  <c r="I49" i="4"/>
  <c r="T48" i="4"/>
  <c r="S48" i="4"/>
  <c r="R48" i="4"/>
  <c r="Q48" i="4"/>
  <c r="P48" i="4"/>
  <c r="O48" i="4"/>
  <c r="T47" i="4"/>
  <c r="S47" i="4"/>
  <c r="P47" i="4"/>
  <c r="N47" i="4"/>
  <c r="M47" i="4"/>
  <c r="L47" i="4"/>
  <c r="T46" i="4"/>
  <c r="S46" i="4"/>
  <c r="Q46" i="4"/>
  <c r="K46" i="4"/>
  <c r="J46" i="4"/>
  <c r="I46" i="4"/>
  <c r="R45" i="4"/>
  <c r="P45" i="4"/>
  <c r="L45" i="4"/>
  <c r="K45" i="4"/>
  <c r="J45" i="4"/>
  <c r="I45" i="4"/>
  <c r="T44" i="4"/>
  <c r="R44" i="4"/>
  <c r="Q44" i="4"/>
  <c r="P44" i="4"/>
  <c r="N44" i="4"/>
  <c r="M44" i="4"/>
  <c r="S43" i="4"/>
  <c r="Q43" i="4"/>
  <c r="P43" i="4"/>
  <c r="N43" i="4"/>
  <c r="L43" i="4"/>
  <c r="I43" i="4"/>
  <c r="S42" i="4"/>
  <c r="R42" i="4"/>
  <c r="Q42" i="4"/>
  <c r="P42" i="4"/>
  <c r="N42" i="4"/>
  <c r="M42" i="4"/>
  <c r="L42" i="4"/>
  <c r="J42" i="4"/>
  <c r="I42" i="4"/>
  <c r="Q41" i="4"/>
  <c r="P41" i="4"/>
  <c r="N41" i="4"/>
  <c r="M41" i="4"/>
  <c r="L41" i="4"/>
  <c r="K41" i="4"/>
  <c r="T40" i="4"/>
  <c r="S40" i="4"/>
  <c r="Q40" i="4"/>
  <c r="P40" i="4"/>
  <c r="O40" i="4"/>
  <c r="M40" i="4"/>
  <c r="L40" i="4"/>
  <c r="K40" i="4"/>
  <c r="J40" i="4"/>
  <c r="T39" i="4"/>
  <c r="S39" i="4"/>
  <c r="R39" i="4"/>
  <c r="Q39" i="4"/>
  <c r="P39" i="4"/>
  <c r="N39" i="4"/>
  <c r="L39" i="4"/>
  <c r="I39" i="4"/>
  <c r="S38" i="4"/>
  <c r="R38" i="4"/>
  <c r="Q38" i="4"/>
  <c r="P38" i="4"/>
  <c r="N38" i="4"/>
  <c r="L38" i="4"/>
  <c r="J38" i="4"/>
  <c r="I38" i="4"/>
  <c r="S37" i="4"/>
  <c r="R37" i="4"/>
  <c r="Q37" i="4"/>
  <c r="P37" i="4"/>
  <c r="O37" i="4"/>
  <c r="N37" i="4"/>
  <c r="M37" i="4"/>
  <c r="K37" i="4"/>
  <c r="J37" i="4"/>
  <c r="I37" i="4"/>
  <c r="S36" i="4"/>
  <c r="R36" i="4"/>
  <c r="Q36" i="4"/>
  <c r="P36" i="4"/>
  <c r="O36" i="4"/>
  <c r="N36" i="4"/>
  <c r="M36" i="4"/>
  <c r="L36" i="4"/>
  <c r="K36" i="4"/>
  <c r="J36" i="4"/>
  <c r="I36" i="4"/>
  <c r="T35" i="4"/>
  <c r="S35" i="4"/>
  <c r="R35" i="4"/>
  <c r="Q35" i="4"/>
  <c r="P35" i="4"/>
  <c r="O35" i="4"/>
  <c r="N35" i="4"/>
  <c r="M35" i="4"/>
  <c r="L35" i="4"/>
  <c r="K35" i="4"/>
  <c r="T34" i="4"/>
  <c r="S34" i="4"/>
  <c r="R34" i="4"/>
  <c r="Q34" i="4"/>
  <c r="P34" i="4"/>
  <c r="O34" i="4"/>
  <c r="N34" i="4"/>
  <c r="M34" i="4"/>
  <c r="L34" i="4"/>
  <c r="K34" i="4"/>
  <c r="J34" i="4"/>
  <c r="S33" i="4"/>
  <c r="R33" i="4"/>
  <c r="Q33" i="4"/>
  <c r="P33" i="4"/>
  <c r="O33" i="4"/>
  <c r="N33" i="4"/>
  <c r="M33" i="4"/>
  <c r="L33" i="4"/>
  <c r="K33" i="4"/>
  <c r="J33" i="4"/>
  <c r="I33" i="4"/>
  <c r="T32" i="4"/>
  <c r="R32" i="4"/>
  <c r="Q32" i="4"/>
  <c r="P32" i="4"/>
  <c r="O32" i="4"/>
  <c r="N32" i="4"/>
  <c r="M32" i="4"/>
  <c r="L32" i="4"/>
  <c r="K32" i="4"/>
  <c r="J32" i="4"/>
  <c r="I32" i="4"/>
  <c r="T31" i="4"/>
  <c r="S31" i="4"/>
  <c r="R31" i="4"/>
  <c r="Q31" i="4"/>
  <c r="P31" i="4"/>
  <c r="O31" i="4"/>
  <c r="M24" i="4"/>
  <c r="L24" i="4"/>
  <c r="J24" i="4"/>
  <c r="I24" i="4"/>
  <c r="T23" i="4"/>
  <c r="R23" i="4"/>
  <c r="Q23" i="4"/>
  <c r="P23" i="4"/>
  <c r="O23" i="4"/>
  <c r="N23" i="4"/>
  <c r="L23" i="4"/>
  <c r="K23" i="4"/>
  <c r="I23" i="4"/>
  <c r="T22" i="4"/>
  <c r="S22" i="4"/>
  <c r="R22" i="4"/>
  <c r="Q22" i="4"/>
  <c r="O22" i="4"/>
  <c r="N22" i="4"/>
  <c r="M22" i="4"/>
  <c r="L22" i="4"/>
  <c r="K22" i="4"/>
  <c r="J22" i="4"/>
  <c r="I22" i="4"/>
  <c r="T21" i="4"/>
  <c r="R21" i="4"/>
  <c r="Q21" i="4"/>
  <c r="P21" i="4"/>
  <c r="N21" i="4"/>
  <c r="M21" i="4"/>
  <c r="L21" i="4"/>
  <c r="K21" i="4"/>
  <c r="J21" i="4"/>
  <c r="I21" i="4"/>
  <c r="T20" i="4"/>
  <c r="S20" i="4"/>
  <c r="R20" i="4"/>
  <c r="Q20" i="4"/>
  <c r="P20" i="4"/>
  <c r="O20" i="4"/>
  <c r="N19" i="4"/>
  <c r="M19" i="4"/>
  <c r="L19" i="4"/>
  <c r="T18" i="4"/>
  <c r="S18" i="4"/>
  <c r="Q18" i="4"/>
  <c r="P18" i="4"/>
  <c r="N18" i="4"/>
  <c r="M18" i="4"/>
  <c r="L18" i="4"/>
  <c r="I18" i="4"/>
  <c r="T17" i="4"/>
  <c r="S17" i="4"/>
  <c r="O17" i="4"/>
  <c r="N17" i="4"/>
  <c r="L17" i="4"/>
  <c r="J17" i="4"/>
  <c r="T16" i="4"/>
  <c r="S16" i="4"/>
  <c r="R16" i="4"/>
  <c r="Q16" i="4"/>
  <c r="P16" i="4"/>
  <c r="O16" i="4"/>
  <c r="N16" i="4"/>
  <c r="K16" i="4"/>
  <c r="J16" i="4"/>
  <c r="T15" i="4"/>
  <c r="R15" i="4"/>
  <c r="Q15" i="4"/>
  <c r="O15" i="4"/>
  <c r="K15" i="4"/>
  <c r="T14" i="4"/>
  <c r="S14" i="4"/>
  <c r="R14" i="4"/>
  <c r="Q14" i="4"/>
  <c r="J14" i="4"/>
  <c r="Q13" i="4"/>
  <c r="P13" i="4"/>
  <c r="O13" i="4"/>
  <c r="L12" i="4"/>
  <c r="K12" i="4"/>
  <c r="J12" i="4"/>
  <c r="I12" i="4"/>
  <c r="T11" i="4"/>
  <c r="R11" i="4"/>
  <c r="Q11" i="4"/>
  <c r="P11" i="4"/>
  <c r="O11" i="4"/>
  <c r="N11" i="4"/>
  <c r="M11" i="4"/>
  <c r="Q10" i="4"/>
  <c r="P10" i="4"/>
  <c r="N10" i="4"/>
  <c r="L10" i="4"/>
  <c r="K10" i="4"/>
  <c r="J10" i="4"/>
  <c r="I10" i="4"/>
  <c r="S9" i="4"/>
  <c r="Q9" i="4"/>
  <c r="P9" i="4"/>
  <c r="O9" i="4"/>
  <c r="M9" i="4"/>
  <c r="L9" i="4"/>
  <c r="J9" i="4"/>
  <c r="S8" i="4"/>
  <c r="Q8" i="4"/>
  <c r="P8" i="4"/>
  <c r="O8" i="4"/>
  <c r="N8" i="4"/>
  <c r="M8" i="4"/>
  <c r="L8" i="4"/>
  <c r="J8" i="4"/>
  <c r="I8" i="4"/>
  <c r="T7" i="4"/>
  <c r="S7" i="4"/>
  <c r="R7" i="4"/>
  <c r="Q7" i="4"/>
  <c r="P7" i="4"/>
  <c r="O7" i="4"/>
  <c r="N7" i="4"/>
  <c r="L7" i="4"/>
  <c r="T6" i="4"/>
  <c r="S6" i="4"/>
  <c r="R6" i="4"/>
  <c r="Q6" i="4"/>
  <c r="P6" i="4"/>
  <c r="K6" i="4"/>
  <c r="J6" i="4"/>
  <c r="S5" i="4"/>
  <c r="Q5" i="4"/>
  <c r="O5" i="4"/>
  <c r="M5" i="4"/>
  <c r="K5" i="4"/>
  <c r="J5" i="4"/>
  <c r="S4" i="4"/>
  <c r="R4" i="4"/>
  <c r="N4" i="4"/>
  <c r="L4" i="4"/>
  <c r="J4" i="4"/>
  <c r="Q3" i="4"/>
  <c r="P3" i="4"/>
  <c r="O3" i="4"/>
  <c r="AT100" i="21" l="1"/>
  <c r="AT96" i="21"/>
  <c r="AT92" i="21"/>
  <c r="AT88" i="21"/>
  <c r="AT84" i="21"/>
  <c r="AU85" i="45" s="1"/>
  <c r="AT103" i="21"/>
  <c r="AU104" i="45" s="1"/>
  <c r="AT99" i="21"/>
  <c r="AU100" i="45" s="1"/>
  <c r="AT95" i="21"/>
  <c r="AU96" i="45" s="1"/>
  <c r="AT91" i="21"/>
  <c r="AU92" i="45" s="1"/>
  <c r="AT87" i="21"/>
  <c r="AU88" i="45" s="1"/>
  <c r="AT98" i="21"/>
  <c r="AU99" i="45" s="1"/>
  <c r="AT94" i="21"/>
  <c r="AU95" i="45" s="1"/>
  <c r="AT90" i="21"/>
  <c r="AT86" i="21"/>
  <c r="AT82" i="21"/>
  <c r="AU83" i="45" s="1"/>
  <c r="AT68" i="21"/>
  <c r="AT81" i="21"/>
  <c r="AU82" i="45" s="1"/>
  <c r="AT101" i="21"/>
  <c r="AU102" i="45" s="1"/>
  <c r="AT97" i="21"/>
  <c r="AT93" i="21"/>
  <c r="AU94" i="45" s="1"/>
  <c r="AT89" i="21"/>
  <c r="AU90" i="45" s="1"/>
  <c r="AT85" i="21"/>
  <c r="AU38" i="45"/>
  <c r="AU79" i="45"/>
  <c r="AU68" i="45"/>
  <c r="AU63" i="45"/>
  <c r="AU58" i="45"/>
  <c r="AU52" i="45"/>
  <c r="AU47" i="45"/>
  <c r="AU42" i="45"/>
  <c r="AU36" i="45"/>
  <c r="AU101" i="45"/>
  <c r="AU97" i="45"/>
  <c r="AU93" i="45"/>
  <c r="AU89" i="45"/>
  <c r="AU80" i="45"/>
  <c r="AU64" i="45"/>
  <c r="AU59" i="45"/>
  <c r="AU48" i="45"/>
  <c r="AU78" i="45"/>
  <c r="AU67" i="45"/>
  <c r="AU62" i="45"/>
  <c r="AU56" i="45"/>
  <c r="AU51" i="45"/>
  <c r="AU46" i="45"/>
  <c r="AU40" i="45"/>
  <c r="AU35" i="45"/>
  <c r="AU70" i="45"/>
  <c r="AU54" i="45"/>
  <c r="AU43" i="45"/>
  <c r="AU98" i="45"/>
  <c r="AU86" i="45"/>
  <c r="AU81" i="45"/>
  <c r="AU71" i="45"/>
  <c r="AU66" i="45"/>
  <c r="AU60" i="45"/>
  <c r="AU55" i="45"/>
  <c r="AU50" i="45"/>
  <c r="AU44" i="45"/>
  <c r="AU39" i="45"/>
  <c r="AU34" i="45"/>
  <c r="AU91" i="45"/>
  <c r="AU87" i="45"/>
  <c r="AU69" i="45"/>
  <c r="AT83" i="21"/>
  <c r="AT31" i="21"/>
  <c r="AT64" i="21"/>
  <c r="AT60" i="21"/>
  <c r="AT56" i="21"/>
  <c r="AT52" i="21"/>
  <c r="AT48" i="21"/>
  <c r="AT44" i="21"/>
  <c r="AT40" i="21"/>
  <c r="AT36" i="21"/>
  <c r="AT32" i="21"/>
  <c r="AT102" i="21"/>
  <c r="AT76" i="21"/>
  <c r="AT72" i="21"/>
  <c r="AT75" i="21"/>
  <c r="AT71" i="21"/>
  <c r="AT73" i="21"/>
  <c r="AT74" i="21"/>
  <c r="AT104" i="21"/>
  <c r="F102" i="9"/>
  <c r="F85" i="43"/>
  <c r="AE86" i="45"/>
  <c r="F63" i="43"/>
  <c r="AE64" i="45"/>
  <c r="F51" i="43"/>
  <c r="AE52" i="45"/>
  <c r="F47" i="43"/>
  <c r="AE48" i="45"/>
  <c r="F35" i="43"/>
  <c r="AE36" i="45"/>
  <c r="F31" i="43"/>
  <c r="AE32" i="45"/>
  <c r="F23" i="43"/>
  <c r="AE24" i="45"/>
  <c r="F11" i="43"/>
  <c r="AE12" i="45"/>
  <c r="F92" i="42"/>
  <c r="AD93" i="45"/>
  <c r="F54" i="42"/>
  <c r="AD55" i="45"/>
  <c r="F22" i="42"/>
  <c r="AD23" i="45"/>
  <c r="F91" i="43"/>
  <c r="AE92" i="45"/>
  <c r="F69" i="43"/>
  <c r="AE70" i="45"/>
  <c r="F102" i="13"/>
  <c r="Y110" i="45"/>
  <c r="F54" i="6"/>
  <c r="E62" i="45"/>
  <c r="F78" i="6"/>
  <c r="E86" i="45"/>
  <c r="F37" i="13"/>
  <c r="Y45" i="45"/>
  <c r="G83" i="15"/>
  <c r="AA91" i="45"/>
  <c r="F88" i="42"/>
  <c r="AD89" i="45"/>
  <c r="F70" i="42"/>
  <c r="AD71" i="45"/>
  <c r="F58" i="42"/>
  <c r="AD59" i="45"/>
  <c r="F46" i="42"/>
  <c r="AD47" i="45"/>
  <c r="F34" i="42"/>
  <c r="AD35" i="45"/>
  <c r="F26" i="42"/>
  <c r="AD27" i="45"/>
  <c r="F14" i="42"/>
  <c r="AD15" i="45"/>
  <c r="F95" i="43"/>
  <c r="AE96" i="45"/>
  <c r="F79" i="43"/>
  <c r="AE80" i="45"/>
  <c r="F57" i="43"/>
  <c r="AE58" i="45"/>
  <c r="F45" i="43"/>
  <c r="AE46" i="45"/>
  <c r="F33" i="43"/>
  <c r="AE34" i="45"/>
  <c r="F21" i="43"/>
  <c r="AE22" i="45"/>
  <c r="F9" i="43"/>
  <c r="AE10" i="45"/>
  <c r="F110" i="4"/>
  <c r="B110" i="45"/>
  <c r="G105" i="5"/>
  <c r="D113" i="45"/>
  <c r="G105" i="8"/>
  <c r="R113" i="45"/>
  <c r="F100" i="9"/>
  <c r="T111" i="45"/>
  <c r="F98" i="10"/>
  <c r="U109" i="45"/>
  <c r="F103" i="11"/>
  <c r="V114" i="45"/>
  <c r="F104" i="13"/>
  <c r="Y112" i="45"/>
  <c r="F47" i="6"/>
  <c r="E55" i="45"/>
  <c r="F51" i="6"/>
  <c r="E59" i="45"/>
  <c r="F55" i="6"/>
  <c r="E63" i="45"/>
  <c r="F59" i="6"/>
  <c r="E67" i="45"/>
  <c r="F71" i="6"/>
  <c r="E79" i="45"/>
  <c r="F79" i="6"/>
  <c r="E87" i="45"/>
  <c r="F87" i="6"/>
  <c r="E95" i="45"/>
  <c r="G3" i="8"/>
  <c r="R11" i="45"/>
  <c r="F97" i="8"/>
  <c r="R105" i="45"/>
  <c r="G47" i="9"/>
  <c r="T58" i="45"/>
  <c r="G43" i="9"/>
  <c r="T54" i="45"/>
  <c r="G39" i="9"/>
  <c r="S50" i="45"/>
  <c r="G35" i="9"/>
  <c r="S46" i="45"/>
  <c r="G31" i="9"/>
  <c r="S42" i="45"/>
  <c r="G27" i="9"/>
  <c r="S38" i="45"/>
  <c r="G23" i="9"/>
  <c r="S34" i="45"/>
  <c r="G19" i="9"/>
  <c r="S30" i="45"/>
  <c r="G15" i="9"/>
  <c r="S26" i="45"/>
  <c r="G11" i="9"/>
  <c r="S22" i="45"/>
  <c r="G7" i="9"/>
  <c r="S18" i="45"/>
  <c r="G50" i="18"/>
  <c r="AK67" i="45"/>
  <c r="G38" i="18"/>
  <c r="AK55" i="45"/>
  <c r="G30" i="18"/>
  <c r="AK47" i="45"/>
  <c r="G22" i="18"/>
  <c r="AK39" i="45"/>
  <c r="G14" i="18"/>
  <c r="F70" i="17"/>
  <c r="AC77" i="45"/>
  <c r="F58" i="17"/>
  <c r="AC65" i="45"/>
  <c r="F54" i="17"/>
  <c r="AC61" i="45"/>
  <c r="F42" i="17"/>
  <c r="AC49" i="45"/>
  <c r="F38" i="17"/>
  <c r="AC45" i="45"/>
  <c r="F26" i="17"/>
  <c r="AC33" i="45"/>
  <c r="F22" i="17"/>
  <c r="AC29" i="45"/>
  <c r="F4" i="17"/>
  <c r="AC11" i="45"/>
  <c r="G71" i="16"/>
  <c r="F96" i="13"/>
  <c r="Y104" i="45"/>
  <c r="F92" i="13"/>
  <c r="Y100" i="45"/>
  <c r="F88" i="13"/>
  <c r="Y96" i="45"/>
  <c r="F84" i="13"/>
  <c r="Y92" i="45"/>
  <c r="F80" i="13"/>
  <c r="Y88" i="45"/>
  <c r="F76" i="13"/>
  <c r="Y84" i="45"/>
  <c r="F72" i="13"/>
  <c r="Y80" i="45"/>
  <c r="G60" i="13"/>
  <c r="Y68" i="45"/>
  <c r="G56" i="13"/>
  <c r="Y64" i="45"/>
  <c r="G52" i="13"/>
  <c r="Y60" i="45"/>
  <c r="G48" i="13"/>
  <c r="Y56" i="45"/>
  <c r="G44" i="13"/>
  <c r="Y52" i="45"/>
  <c r="G40" i="13"/>
  <c r="Y48" i="45"/>
  <c r="G36" i="13"/>
  <c r="Y44" i="45"/>
  <c r="G32" i="13"/>
  <c r="Y40" i="45"/>
  <c r="G28" i="13"/>
  <c r="Y36" i="45"/>
  <c r="F86" i="15"/>
  <c r="AA94" i="45"/>
  <c r="F78" i="15"/>
  <c r="AA86" i="45"/>
  <c r="G70" i="15"/>
  <c r="G97" i="12"/>
  <c r="X105" i="45"/>
  <c r="G97" i="16"/>
  <c r="AB105" i="45"/>
  <c r="F97" i="31"/>
  <c r="K105" i="45"/>
  <c r="F97" i="33"/>
  <c r="M105" i="45"/>
  <c r="G4" i="37"/>
  <c r="AF18" i="45"/>
  <c r="F86" i="40"/>
  <c r="AP107" i="45"/>
  <c r="G87" i="41"/>
  <c r="AN104" i="45"/>
  <c r="G83" i="41"/>
  <c r="AN100" i="45"/>
  <c r="G79" i="41"/>
  <c r="AN96" i="45"/>
  <c r="G113" i="4"/>
  <c r="B113" i="45"/>
  <c r="G109" i="4"/>
  <c r="B109" i="45"/>
  <c r="G104" i="5"/>
  <c r="D112" i="45"/>
  <c r="G100" i="5"/>
  <c r="D108" i="45"/>
  <c r="E115" i="45"/>
  <c r="G103" i="6"/>
  <c r="E111" i="45"/>
  <c r="G99" i="6"/>
  <c r="E107" i="45"/>
  <c r="G98" i="7"/>
  <c r="Q112" i="45"/>
  <c r="F94" i="7"/>
  <c r="Q108" i="45"/>
  <c r="G94" i="7"/>
  <c r="G104" i="8"/>
  <c r="R112" i="45"/>
  <c r="G100" i="8"/>
  <c r="R108" i="45"/>
  <c r="F99" i="9"/>
  <c r="T110" i="45"/>
  <c r="F95" i="9"/>
  <c r="T106" i="45"/>
  <c r="F98" i="9"/>
  <c r="F102" i="11"/>
  <c r="V113" i="45"/>
  <c r="F98" i="11"/>
  <c r="V109" i="45"/>
  <c r="F105" i="12"/>
  <c r="X113" i="45"/>
  <c r="F101" i="12"/>
  <c r="X109" i="45"/>
  <c r="F107" i="13"/>
  <c r="Y115" i="45"/>
  <c r="F103" i="13"/>
  <c r="Y111" i="45"/>
  <c r="F100" i="13"/>
  <c r="Y108" i="45"/>
  <c r="G90" i="4"/>
  <c r="B90" i="45"/>
  <c r="F50" i="6"/>
  <c r="E58" i="45"/>
  <c r="F62" i="6"/>
  <c r="E70" i="45"/>
  <c r="F74" i="6"/>
  <c r="E82" i="45"/>
  <c r="F86" i="6"/>
  <c r="E94" i="45"/>
  <c r="G54" i="19"/>
  <c r="AL71" i="45"/>
  <c r="G91" i="15"/>
  <c r="AA99" i="45"/>
  <c r="G79" i="15"/>
  <c r="AA87" i="45"/>
  <c r="G95" i="35"/>
  <c r="O103" i="45"/>
  <c r="G68" i="5"/>
  <c r="D76" i="45"/>
  <c r="F62" i="9"/>
  <c r="T73" i="45"/>
  <c r="G5" i="37"/>
  <c r="AF19" i="45"/>
  <c r="F87" i="40"/>
  <c r="AP108" i="45"/>
  <c r="F96" i="42"/>
  <c r="AD97" i="45"/>
  <c r="F84" i="42"/>
  <c r="AD85" i="45"/>
  <c r="F66" i="42"/>
  <c r="AD67" i="45"/>
  <c r="F42" i="42"/>
  <c r="AD43" i="45"/>
  <c r="F30" i="42"/>
  <c r="AD31" i="45"/>
  <c r="F10" i="42"/>
  <c r="AD11" i="45"/>
  <c r="F83" i="43"/>
  <c r="AE84" i="45"/>
  <c r="F65" i="43"/>
  <c r="AE66" i="45"/>
  <c r="F53" i="43"/>
  <c r="AE54" i="45"/>
  <c r="F41" i="43"/>
  <c r="AE42" i="45"/>
  <c r="F29" i="43"/>
  <c r="AE30" i="45"/>
  <c r="F17" i="43"/>
  <c r="AE18" i="45"/>
  <c r="F13" i="43"/>
  <c r="AE14" i="45"/>
  <c r="F43" i="43"/>
  <c r="AE44" i="45"/>
  <c r="F15" i="43"/>
  <c r="AE16" i="45"/>
  <c r="F114" i="4"/>
  <c r="B114" i="45"/>
  <c r="G101" i="5"/>
  <c r="D109" i="45"/>
  <c r="G100" i="6"/>
  <c r="E108" i="45"/>
  <c r="F95" i="7"/>
  <c r="Q109" i="45"/>
  <c r="F104" i="9"/>
  <c r="T115" i="45"/>
  <c r="F102" i="10"/>
  <c r="U113" i="45"/>
  <c r="F99" i="11"/>
  <c r="V110" i="45"/>
  <c r="F101" i="13"/>
  <c r="Y109" i="45"/>
  <c r="F92" i="4"/>
  <c r="B92" i="45"/>
  <c r="F44" i="6"/>
  <c r="F48" i="6"/>
  <c r="E56" i="45"/>
  <c r="F56" i="6"/>
  <c r="E64" i="45"/>
  <c r="F64" i="6"/>
  <c r="E72" i="45"/>
  <c r="F68" i="6"/>
  <c r="E76" i="45"/>
  <c r="F76" i="6"/>
  <c r="E84" i="45"/>
  <c r="F84" i="6"/>
  <c r="E92" i="45"/>
  <c r="F88" i="6"/>
  <c r="E96" i="45"/>
  <c r="F92" i="6"/>
  <c r="E100" i="45"/>
  <c r="F96" i="6"/>
  <c r="E104" i="45"/>
  <c r="D36" i="8"/>
  <c r="C36" i="8" s="1"/>
  <c r="R44" i="45" s="1"/>
  <c r="G46" i="9"/>
  <c r="T57" i="45"/>
  <c r="G42" i="9"/>
  <c r="T53" i="45"/>
  <c r="G38" i="9"/>
  <c r="S49" i="45"/>
  <c r="G34" i="9"/>
  <c r="S45" i="45"/>
  <c r="G30" i="9"/>
  <c r="S41" i="45"/>
  <c r="G26" i="9"/>
  <c r="S37" i="45"/>
  <c r="G22" i="9"/>
  <c r="S33" i="45"/>
  <c r="G18" i="9"/>
  <c r="S29" i="45"/>
  <c r="G14" i="9"/>
  <c r="S25" i="45"/>
  <c r="G10" i="9"/>
  <c r="S21" i="45"/>
  <c r="G6" i="9"/>
  <c r="S17" i="45"/>
  <c r="G68" i="9"/>
  <c r="T79" i="45"/>
  <c r="G97" i="17"/>
  <c r="AC104" i="45"/>
  <c r="G93" i="17"/>
  <c r="AC100" i="45"/>
  <c r="G85" i="17"/>
  <c r="AC92" i="45"/>
  <c r="G77" i="17"/>
  <c r="AC84" i="45"/>
  <c r="G66" i="5"/>
  <c r="D74" i="45"/>
  <c r="F7" i="37"/>
  <c r="AF21" i="45"/>
  <c r="F93" i="40"/>
  <c r="AP114" i="45"/>
  <c r="F89" i="40"/>
  <c r="AP110" i="45"/>
  <c r="F85" i="40"/>
  <c r="AP106" i="45"/>
  <c r="F94" i="42"/>
  <c r="AD95" i="45"/>
  <c r="F90" i="42"/>
  <c r="AD91" i="45"/>
  <c r="F86" i="42"/>
  <c r="AD87" i="45"/>
  <c r="F82" i="42"/>
  <c r="AD83" i="45"/>
  <c r="F78" i="42"/>
  <c r="AD79" i="45"/>
  <c r="F68" i="42"/>
  <c r="AD69" i="45"/>
  <c r="F64" i="42"/>
  <c r="AD65" i="45"/>
  <c r="F60" i="42"/>
  <c r="AD61" i="45"/>
  <c r="F56" i="42"/>
  <c r="AD57" i="45"/>
  <c r="F52" i="42"/>
  <c r="AD53" i="45"/>
  <c r="F48" i="42"/>
  <c r="AD49" i="45"/>
  <c r="F44" i="42"/>
  <c r="AD45" i="45"/>
  <c r="F40" i="42"/>
  <c r="AD41" i="45"/>
  <c r="F36" i="42"/>
  <c r="AD37" i="45"/>
  <c r="F32" i="42"/>
  <c r="AD33" i="45"/>
  <c r="F28" i="42"/>
  <c r="AD29" i="45"/>
  <c r="F24" i="42"/>
  <c r="AD25" i="45"/>
  <c r="F20" i="42"/>
  <c r="AD21" i="45"/>
  <c r="F16" i="42"/>
  <c r="AD17" i="45"/>
  <c r="F12" i="42"/>
  <c r="AD13" i="45"/>
  <c r="F8" i="42"/>
  <c r="AD9" i="45"/>
  <c r="F4" i="42"/>
  <c r="AD5" i="45"/>
  <c r="F97" i="43"/>
  <c r="AE98" i="45"/>
  <c r="F93" i="43"/>
  <c r="AE94" i="45"/>
  <c r="F89" i="43"/>
  <c r="AE90" i="45"/>
  <c r="F81" i="43"/>
  <c r="AE82" i="45"/>
  <c r="F77" i="43"/>
  <c r="AE78" i="45"/>
  <c r="F67" i="43"/>
  <c r="AE68" i="45"/>
  <c r="F59" i="43"/>
  <c r="AE60" i="45"/>
  <c r="F55" i="43"/>
  <c r="AE56" i="45"/>
  <c r="F39" i="43"/>
  <c r="AE40" i="45"/>
  <c r="F27" i="43"/>
  <c r="AE28" i="45"/>
  <c r="F19" i="43"/>
  <c r="AE20" i="45"/>
  <c r="F7" i="43"/>
  <c r="AE8" i="45"/>
  <c r="F112" i="4"/>
  <c r="B112" i="45"/>
  <c r="F108" i="4"/>
  <c r="B108" i="45"/>
  <c r="G106" i="6"/>
  <c r="E114" i="45"/>
  <c r="G102" i="6"/>
  <c r="E110" i="45"/>
  <c r="G98" i="6"/>
  <c r="E106" i="45"/>
  <c r="F101" i="7"/>
  <c r="Q115" i="45"/>
  <c r="F97" i="7"/>
  <c r="Q111" i="45"/>
  <c r="F93" i="7"/>
  <c r="Q107" i="45"/>
  <c r="G103" i="8"/>
  <c r="R111" i="45"/>
  <c r="G94" i="9"/>
  <c r="T105" i="45"/>
  <c r="U115" i="45"/>
  <c r="F100" i="10"/>
  <c r="U111" i="45"/>
  <c r="F96" i="10"/>
  <c r="U107" i="45"/>
  <c r="G100" i="10"/>
  <c r="G101" i="11"/>
  <c r="V112" i="45"/>
  <c r="F97" i="11"/>
  <c r="V108" i="45"/>
  <c r="G97" i="11"/>
  <c r="F99" i="13"/>
  <c r="Y107" i="45"/>
  <c r="F46" i="6"/>
  <c r="E54" i="45"/>
  <c r="F58" i="6"/>
  <c r="E66" i="45"/>
  <c r="F70" i="6"/>
  <c r="E78" i="45"/>
  <c r="F82" i="6"/>
  <c r="E90" i="45"/>
  <c r="F67" i="17"/>
  <c r="AC74" i="45"/>
  <c r="F29" i="13"/>
  <c r="Y37" i="45"/>
  <c r="G95" i="15"/>
  <c r="AA103" i="45"/>
  <c r="G87" i="15"/>
  <c r="AA95" i="45"/>
  <c r="G75" i="15"/>
  <c r="AA83" i="45"/>
  <c r="G64" i="5"/>
  <c r="D72" i="45"/>
  <c r="F91" i="40"/>
  <c r="AP112" i="45"/>
  <c r="F80" i="42"/>
  <c r="AD81" i="45"/>
  <c r="F62" i="42"/>
  <c r="AD63" i="45"/>
  <c r="F50" i="42"/>
  <c r="AD51" i="45"/>
  <c r="F38" i="42"/>
  <c r="AD39" i="45"/>
  <c r="F18" i="42"/>
  <c r="AD19" i="45"/>
  <c r="F6" i="42"/>
  <c r="AD7" i="45"/>
  <c r="F87" i="43"/>
  <c r="AE88" i="45"/>
  <c r="F61" i="43"/>
  <c r="AE62" i="45"/>
  <c r="F49" i="43"/>
  <c r="AE50" i="45"/>
  <c r="F37" i="43"/>
  <c r="AE38" i="45"/>
  <c r="F25" i="43"/>
  <c r="AE26" i="45"/>
  <c r="F5" i="43"/>
  <c r="AE6" i="45"/>
  <c r="G64" i="39"/>
  <c r="G64" i="41"/>
  <c r="G106" i="4"/>
  <c r="B106" i="45"/>
  <c r="G104" i="6"/>
  <c r="E112" i="45"/>
  <c r="F99" i="7"/>
  <c r="Q113" i="45"/>
  <c r="G101" i="8"/>
  <c r="R109" i="45"/>
  <c r="F94" i="10"/>
  <c r="U105" i="45"/>
  <c r="F95" i="11"/>
  <c r="V106" i="45"/>
  <c r="G70" i="4"/>
  <c r="B70" i="45"/>
  <c r="F45" i="6"/>
  <c r="E53" i="45"/>
  <c r="F49" i="6"/>
  <c r="E57" i="45"/>
  <c r="F53" i="6"/>
  <c r="E61" i="45"/>
  <c r="F57" i="6"/>
  <c r="E65" i="45"/>
  <c r="F61" i="6"/>
  <c r="E69" i="45"/>
  <c r="F65" i="6"/>
  <c r="E73" i="45"/>
  <c r="F69" i="6"/>
  <c r="E77" i="45"/>
  <c r="F73" i="6"/>
  <c r="E81" i="45"/>
  <c r="F77" i="6"/>
  <c r="E85" i="45"/>
  <c r="F81" i="6"/>
  <c r="E89" i="45"/>
  <c r="F85" i="6"/>
  <c r="E93" i="45"/>
  <c r="F89" i="6"/>
  <c r="E97" i="45"/>
  <c r="F93" i="6"/>
  <c r="E101" i="45"/>
  <c r="F97" i="6"/>
  <c r="E105" i="45"/>
  <c r="G67" i="9"/>
  <c r="T78" i="45"/>
  <c r="G73" i="16"/>
  <c r="G24" i="13"/>
  <c r="Y32" i="45"/>
  <c r="G72" i="15"/>
  <c r="G75" i="12"/>
  <c r="X83" i="45"/>
  <c r="F77" i="4"/>
  <c r="B77" i="45"/>
  <c r="F73" i="4"/>
  <c r="B73" i="45"/>
  <c r="AG37" i="45"/>
  <c r="F92" i="40"/>
  <c r="AP113" i="45"/>
  <c r="F88" i="40"/>
  <c r="AP109" i="45"/>
  <c r="G85" i="41"/>
  <c r="AN102" i="45"/>
  <c r="G81" i="41"/>
  <c r="AN98" i="45"/>
  <c r="G115" i="4"/>
  <c r="B115" i="45"/>
  <c r="G111" i="4"/>
  <c r="B111" i="45"/>
  <c r="G107" i="4"/>
  <c r="B107" i="45"/>
  <c r="G106" i="5"/>
  <c r="D114" i="45"/>
  <c r="F102" i="5"/>
  <c r="D110" i="45"/>
  <c r="G102" i="5"/>
  <c r="G105" i="6"/>
  <c r="E113" i="45"/>
  <c r="G101" i="6"/>
  <c r="E109" i="45"/>
  <c r="F101" i="6"/>
  <c r="F100" i="7"/>
  <c r="Q114" i="45"/>
  <c r="F96" i="7"/>
  <c r="Q110" i="45"/>
  <c r="F92" i="7"/>
  <c r="Q106" i="45"/>
  <c r="F101" i="9"/>
  <c r="T112" i="45"/>
  <c r="F97" i="9"/>
  <c r="T108" i="45"/>
  <c r="F103" i="9"/>
  <c r="F103" i="10"/>
  <c r="U114" i="45"/>
  <c r="F99" i="10"/>
  <c r="U110" i="45"/>
  <c r="F95" i="10"/>
  <c r="U106" i="45"/>
  <c r="F104" i="11"/>
  <c r="V115" i="45"/>
  <c r="F100" i="11"/>
  <c r="V111" i="45"/>
  <c r="F96" i="11"/>
  <c r="V107" i="45"/>
  <c r="F107" i="12"/>
  <c r="X115" i="45"/>
  <c r="F103" i="12"/>
  <c r="X111" i="45"/>
  <c r="F99" i="12"/>
  <c r="X107" i="45"/>
  <c r="F105" i="13"/>
  <c r="Y113" i="45"/>
  <c r="F98" i="13"/>
  <c r="Y106" i="45"/>
  <c r="G99" i="12"/>
  <c r="G96" i="10"/>
  <c r="G93" i="7"/>
  <c r="D35" i="8"/>
  <c r="C35" i="8" s="1"/>
  <c r="R43" i="45" s="1"/>
  <c r="F106" i="6"/>
  <c r="G97" i="7"/>
  <c r="G100" i="11"/>
  <c r="F113" i="4"/>
  <c r="F106" i="5"/>
  <c r="F105" i="6"/>
  <c r="F98" i="6"/>
  <c r="G101" i="7"/>
  <c r="F94" i="9"/>
  <c r="G104" i="11"/>
  <c r="G96" i="11"/>
  <c r="G98" i="10"/>
  <c r="D61" i="10"/>
  <c r="C61" i="10" s="1"/>
  <c r="G61" i="10" s="1"/>
  <c r="G85" i="40"/>
  <c r="F64" i="39"/>
  <c r="F107" i="4"/>
  <c r="F104" i="5"/>
  <c r="F104" i="6"/>
  <c r="F103" i="8"/>
  <c r="G102" i="10"/>
  <c r="G94" i="10"/>
  <c r="G107" i="12"/>
  <c r="G105" i="13"/>
  <c r="D60" i="10"/>
  <c r="C60" i="10" s="1"/>
  <c r="F60" i="10" s="1"/>
  <c r="G91" i="40"/>
  <c r="G104" i="9"/>
  <c r="G100" i="9"/>
  <c r="G96" i="9"/>
  <c r="G102" i="11"/>
  <c r="G98" i="11"/>
  <c r="G103" i="12"/>
  <c r="F106" i="13"/>
  <c r="G106" i="13"/>
  <c r="G101" i="13"/>
  <c r="D38" i="4"/>
  <c r="C38" i="4" s="1"/>
  <c r="B38" i="45" s="1"/>
  <c r="D41" i="4"/>
  <c r="C41" i="4" s="1"/>
  <c r="B41" i="45" s="1"/>
  <c r="D43" i="4"/>
  <c r="C43" i="4" s="1"/>
  <c r="B43" i="45" s="1"/>
  <c r="D54" i="4"/>
  <c r="C54" i="4" s="1"/>
  <c r="D9" i="8"/>
  <c r="C9" i="8" s="1"/>
  <c r="R17" i="45" s="1"/>
  <c r="D15" i="8"/>
  <c r="C15" i="8" s="1"/>
  <c r="R23" i="45" s="1"/>
  <c r="D25" i="8"/>
  <c r="C25" i="8" s="1"/>
  <c r="D33" i="8"/>
  <c r="C33" i="8" s="1"/>
  <c r="F33" i="8" s="1"/>
  <c r="D40" i="8"/>
  <c r="C40" i="8" s="1"/>
  <c r="R48" i="45" s="1"/>
  <c r="G87" i="40"/>
  <c r="G107" i="5"/>
  <c r="F107" i="5"/>
  <c r="G103" i="5"/>
  <c r="F103" i="5"/>
  <c r="G99" i="5"/>
  <c r="F99" i="5"/>
  <c r="F102" i="6"/>
  <c r="G99" i="7"/>
  <c r="G95" i="7"/>
  <c r="G107" i="8"/>
  <c r="F107" i="8"/>
  <c r="G99" i="8"/>
  <c r="F99" i="8"/>
  <c r="F96" i="9"/>
  <c r="F106" i="12"/>
  <c r="G106" i="12"/>
  <c r="F102" i="12"/>
  <c r="G102" i="12"/>
  <c r="F98" i="12"/>
  <c r="G98" i="12"/>
  <c r="G101" i="12"/>
  <c r="G107" i="13"/>
  <c r="G99" i="13"/>
  <c r="D15" i="4"/>
  <c r="C15" i="4" s="1"/>
  <c r="B15" i="45" s="1"/>
  <c r="D20" i="4"/>
  <c r="C20" i="4" s="1"/>
  <c r="D37" i="4"/>
  <c r="C37" i="4" s="1"/>
  <c r="G37" i="4" s="1"/>
  <c r="D44" i="4"/>
  <c r="C44" i="4" s="1"/>
  <c r="B44" i="45" s="1"/>
  <c r="D51" i="4"/>
  <c r="C51" i="4" s="1"/>
  <c r="B51" i="45" s="1"/>
  <c r="D53" i="4"/>
  <c r="C53" i="4" s="1"/>
  <c r="D12" i="8"/>
  <c r="C12" i="8" s="1"/>
  <c r="D44" i="8"/>
  <c r="C44" i="8" s="1"/>
  <c r="R52" i="45" s="1"/>
  <c r="G7" i="37"/>
  <c r="F101" i="10"/>
  <c r="G101" i="10"/>
  <c r="F97" i="10"/>
  <c r="G97" i="10"/>
  <c r="F104" i="12"/>
  <c r="G104" i="12"/>
  <c r="F100" i="12"/>
  <c r="G100" i="12"/>
  <c r="G105" i="12"/>
  <c r="F109" i="4"/>
  <c r="F105" i="5"/>
  <c r="F101" i="5"/>
  <c r="F103" i="6"/>
  <c r="F99" i="6"/>
  <c r="G100" i="7"/>
  <c r="G96" i="7"/>
  <c r="G92" i="7"/>
  <c r="G103" i="10"/>
  <c r="G99" i="10"/>
  <c r="G95" i="10"/>
  <c r="G103" i="11"/>
  <c r="G99" i="11"/>
  <c r="G95" i="11"/>
  <c r="G104" i="13"/>
  <c r="G102" i="13"/>
  <c r="G100" i="13"/>
  <c r="G98" i="13"/>
  <c r="F105" i="8"/>
  <c r="G102" i="9"/>
  <c r="G98" i="9"/>
  <c r="F111" i="4"/>
  <c r="F101" i="8"/>
  <c r="G103" i="9"/>
  <c r="G101" i="9"/>
  <c r="G99" i="9"/>
  <c r="G97" i="9"/>
  <c r="G95" i="9"/>
  <c r="F55" i="16"/>
  <c r="F47" i="16"/>
  <c r="F39" i="16"/>
  <c r="F31" i="16"/>
  <c r="F23" i="16"/>
  <c r="F15" i="16"/>
  <c r="F7" i="16"/>
  <c r="F95" i="16"/>
  <c r="F91" i="16"/>
  <c r="F87" i="16"/>
  <c r="F83" i="16"/>
  <c r="F79" i="16"/>
  <c r="F75" i="16"/>
  <c r="G93" i="16"/>
  <c r="G89" i="16"/>
  <c r="G85" i="16"/>
  <c r="G81" i="16"/>
  <c r="G77" i="16"/>
  <c r="F73" i="16"/>
  <c r="F59" i="16"/>
  <c r="F51" i="16"/>
  <c r="F43" i="16"/>
  <c r="F35" i="16"/>
  <c r="F27" i="16"/>
  <c r="F19" i="16"/>
  <c r="F11" i="16"/>
  <c r="F93" i="16"/>
  <c r="F89" i="16"/>
  <c r="F85" i="16"/>
  <c r="F81" i="16"/>
  <c r="F77" i="16"/>
  <c r="G95" i="16"/>
  <c r="G91" i="16"/>
  <c r="G87" i="16"/>
  <c r="G83" i="16"/>
  <c r="G79" i="16"/>
  <c r="G75" i="16"/>
  <c r="F71" i="15"/>
  <c r="G71" i="15"/>
  <c r="F62" i="15"/>
  <c r="G62" i="15"/>
  <c r="F58" i="15"/>
  <c r="G58" i="15"/>
  <c r="F54" i="15"/>
  <c r="G54" i="15"/>
  <c r="F50" i="15"/>
  <c r="G50" i="15"/>
  <c r="F46" i="15"/>
  <c r="G46" i="15"/>
  <c r="F42" i="15"/>
  <c r="G42" i="15"/>
  <c r="F38" i="15"/>
  <c r="G38" i="15"/>
  <c r="F34" i="15"/>
  <c r="G34" i="15"/>
  <c r="F30" i="15"/>
  <c r="G30" i="15"/>
  <c r="F26" i="15"/>
  <c r="G26" i="15"/>
  <c r="F106" i="8"/>
  <c r="F104" i="8"/>
  <c r="F102" i="8"/>
  <c r="F100" i="8"/>
  <c r="F98" i="8"/>
  <c r="G106" i="8"/>
  <c r="G102" i="8"/>
  <c r="G98" i="8"/>
  <c r="G97" i="8"/>
  <c r="F38" i="7"/>
  <c r="G38" i="7"/>
  <c r="G61" i="5"/>
  <c r="F61" i="5"/>
  <c r="G59" i="5"/>
  <c r="F59" i="5"/>
  <c r="G57" i="5"/>
  <c r="F57" i="5"/>
  <c r="G55" i="5"/>
  <c r="F55" i="5"/>
  <c r="G53" i="5"/>
  <c r="F53" i="5"/>
  <c r="G51" i="5"/>
  <c r="F51" i="5"/>
  <c r="G49" i="5"/>
  <c r="F49" i="5"/>
  <c r="G47" i="5"/>
  <c r="F47" i="5"/>
  <c r="G45" i="5"/>
  <c r="F45" i="5"/>
  <c r="G43" i="5"/>
  <c r="F43" i="5"/>
  <c r="G41" i="5"/>
  <c r="F41" i="5"/>
  <c r="G39" i="5"/>
  <c r="F39" i="5"/>
  <c r="G37" i="5"/>
  <c r="F37" i="5"/>
  <c r="G35" i="5"/>
  <c r="F35" i="5"/>
  <c r="G33" i="5"/>
  <c r="F33" i="5"/>
  <c r="G31" i="5"/>
  <c r="F31" i="5"/>
  <c r="G29" i="5"/>
  <c r="F29" i="5"/>
  <c r="G27" i="5"/>
  <c r="F27" i="5"/>
  <c r="G25" i="5"/>
  <c r="F25" i="5"/>
  <c r="G23" i="5"/>
  <c r="F23" i="5"/>
  <c r="G21" i="5"/>
  <c r="F21" i="5"/>
  <c r="G19" i="5"/>
  <c r="F19" i="5"/>
  <c r="G17" i="5"/>
  <c r="F17" i="5"/>
  <c r="G15" i="5"/>
  <c r="F15" i="5"/>
  <c r="G13" i="5"/>
  <c r="F13" i="5"/>
  <c r="G11" i="5"/>
  <c r="F11" i="5"/>
  <c r="G9" i="5"/>
  <c r="F9" i="5"/>
  <c r="G7" i="5"/>
  <c r="F7" i="5"/>
  <c r="G5" i="5"/>
  <c r="F5" i="5"/>
  <c r="F3" i="18"/>
  <c r="G3" i="18"/>
  <c r="G87" i="18"/>
  <c r="F87" i="18"/>
  <c r="F83" i="18"/>
  <c r="G83" i="18"/>
  <c r="G81" i="18"/>
  <c r="F81" i="18"/>
  <c r="F79" i="18"/>
  <c r="G79" i="18"/>
  <c r="G77" i="18"/>
  <c r="F77" i="18"/>
  <c r="F75" i="18"/>
  <c r="G75" i="18"/>
  <c r="G73" i="18"/>
  <c r="F73" i="18"/>
  <c r="F71" i="18"/>
  <c r="G71" i="18"/>
  <c r="G69" i="18"/>
  <c r="F69" i="18"/>
  <c r="F67" i="18"/>
  <c r="G67" i="18"/>
  <c r="G63" i="18"/>
  <c r="F63" i="18"/>
  <c r="G61" i="18"/>
  <c r="F61" i="18"/>
  <c r="G53" i="18"/>
  <c r="F53" i="18"/>
  <c r="G51" i="18"/>
  <c r="F51" i="18"/>
  <c r="G49" i="18"/>
  <c r="F49" i="18"/>
  <c r="G47" i="18"/>
  <c r="F47" i="18"/>
  <c r="G45" i="18"/>
  <c r="F45" i="18"/>
  <c r="G43" i="18"/>
  <c r="F43" i="18"/>
  <c r="G41" i="18"/>
  <c r="F41" i="18"/>
  <c r="G39" i="18"/>
  <c r="F39" i="18"/>
  <c r="G37" i="18"/>
  <c r="F37" i="18"/>
  <c r="G35" i="18"/>
  <c r="F35" i="18"/>
  <c r="G33" i="18"/>
  <c r="F33" i="18"/>
  <c r="G31" i="18"/>
  <c r="F31" i="18"/>
  <c r="G29" i="18"/>
  <c r="F29" i="18"/>
  <c r="G27" i="18"/>
  <c r="F27" i="18"/>
  <c r="G25" i="18"/>
  <c r="F25" i="18"/>
  <c r="G23" i="18"/>
  <c r="F23" i="18"/>
  <c r="G21" i="18"/>
  <c r="F21" i="18"/>
  <c r="G19" i="18"/>
  <c r="F19" i="18"/>
  <c r="G17" i="18"/>
  <c r="F17" i="18"/>
  <c r="G15" i="18"/>
  <c r="F15" i="18"/>
  <c r="G13" i="18"/>
  <c r="F13" i="18"/>
  <c r="G11" i="18"/>
  <c r="F11" i="18"/>
  <c r="G9" i="18"/>
  <c r="F9" i="18"/>
  <c r="G7" i="18"/>
  <c r="F7" i="18"/>
  <c r="G5" i="18"/>
  <c r="F5" i="18"/>
  <c r="G3" i="19"/>
  <c r="F3" i="19"/>
  <c r="G85" i="19"/>
  <c r="F85" i="19"/>
  <c r="G81" i="19"/>
  <c r="F81" i="19"/>
  <c r="G77" i="19"/>
  <c r="F77" i="19"/>
  <c r="G73" i="19"/>
  <c r="F73" i="19"/>
  <c r="G69" i="19"/>
  <c r="F69" i="19"/>
  <c r="G63" i="19"/>
  <c r="F63" i="19"/>
  <c r="G72" i="12"/>
  <c r="F72" i="12"/>
  <c r="G70" i="12"/>
  <c r="F70" i="12"/>
  <c r="F72" i="16"/>
  <c r="G72" i="16"/>
  <c r="F70" i="16"/>
  <c r="G70" i="16"/>
  <c r="F62" i="16"/>
  <c r="G62" i="16"/>
  <c r="F60" i="16"/>
  <c r="G60" i="16"/>
  <c r="F58" i="16"/>
  <c r="G58" i="16"/>
  <c r="F56" i="16"/>
  <c r="G56" i="16"/>
  <c r="F54" i="16"/>
  <c r="G54" i="16"/>
  <c r="F52" i="16"/>
  <c r="G52" i="16"/>
  <c r="F50" i="16"/>
  <c r="G50" i="16"/>
  <c r="F48" i="16"/>
  <c r="G48" i="16"/>
  <c r="F46" i="16"/>
  <c r="G46" i="16"/>
  <c r="F44" i="16"/>
  <c r="G44" i="16"/>
  <c r="F42" i="16"/>
  <c r="G42" i="16"/>
  <c r="F40" i="16"/>
  <c r="G40" i="16"/>
  <c r="F38" i="16"/>
  <c r="G38" i="16"/>
  <c r="F36" i="16"/>
  <c r="G36" i="16"/>
  <c r="F34" i="16"/>
  <c r="G34" i="16"/>
  <c r="F32" i="16"/>
  <c r="G32" i="16"/>
  <c r="F30" i="16"/>
  <c r="G30" i="16"/>
  <c r="F28" i="16"/>
  <c r="G28" i="16"/>
  <c r="F26" i="16"/>
  <c r="G26" i="16"/>
  <c r="F24" i="16"/>
  <c r="G24" i="16"/>
  <c r="F22" i="16"/>
  <c r="G22" i="16"/>
  <c r="F20" i="16"/>
  <c r="G20" i="16"/>
  <c r="F18" i="16"/>
  <c r="G18" i="16"/>
  <c r="F16" i="16"/>
  <c r="G16" i="16"/>
  <c r="F14" i="16"/>
  <c r="G14" i="16"/>
  <c r="F12" i="16"/>
  <c r="G12" i="16"/>
  <c r="F10" i="16"/>
  <c r="G10" i="16"/>
  <c r="F8" i="16"/>
  <c r="G8" i="16"/>
  <c r="F6" i="16"/>
  <c r="G6" i="16"/>
  <c r="F4" i="16"/>
  <c r="G4" i="16"/>
  <c r="F95" i="32"/>
  <c r="G95" i="32"/>
  <c r="F70" i="7"/>
  <c r="G70" i="7"/>
  <c r="F14" i="7"/>
  <c r="G14" i="7"/>
  <c r="F54" i="7"/>
  <c r="G54" i="7"/>
  <c r="F82" i="7"/>
  <c r="G82" i="7"/>
  <c r="G62" i="5"/>
  <c r="F62" i="5"/>
  <c r="G60" i="5"/>
  <c r="F60" i="5"/>
  <c r="G58" i="5"/>
  <c r="F58" i="5"/>
  <c r="G56" i="5"/>
  <c r="F56" i="5"/>
  <c r="G54" i="5"/>
  <c r="F54" i="5"/>
  <c r="G52" i="5"/>
  <c r="F52" i="5"/>
  <c r="G50" i="5"/>
  <c r="F50" i="5"/>
  <c r="G48" i="5"/>
  <c r="F48" i="5"/>
  <c r="G46" i="5"/>
  <c r="F46" i="5"/>
  <c r="G44" i="5"/>
  <c r="F44" i="5"/>
  <c r="G42" i="5"/>
  <c r="F42" i="5"/>
  <c r="G40" i="5"/>
  <c r="F40" i="5"/>
  <c r="G38" i="5"/>
  <c r="F38" i="5"/>
  <c r="G36" i="5"/>
  <c r="F36" i="5"/>
  <c r="G34" i="5"/>
  <c r="F34" i="5"/>
  <c r="G32" i="5"/>
  <c r="F32" i="5"/>
  <c r="G30" i="5"/>
  <c r="F30" i="5"/>
  <c r="G28" i="5"/>
  <c r="F28" i="5"/>
  <c r="G26" i="5"/>
  <c r="F26" i="5"/>
  <c r="G24" i="5"/>
  <c r="F24" i="5"/>
  <c r="G22" i="5"/>
  <c r="F22" i="5"/>
  <c r="G20" i="5"/>
  <c r="F20" i="5"/>
  <c r="G18" i="5"/>
  <c r="F18" i="5"/>
  <c r="G16" i="5"/>
  <c r="F16" i="5"/>
  <c r="G14" i="5"/>
  <c r="F14" i="5"/>
  <c r="G12" i="5"/>
  <c r="F12" i="5"/>
  <c r="G10" i="5"/>
  <c r="F10" i="5"/>
  <c r="G8" i="5"/>
  <c r="F8" i="5"/>
  <c r="G6" i="5"/>
  <c r="F6" i="5"/>
  <c r="G4" i="5"/>
  <c r="F4" i="5"/>
  <c r="G84" i="18"/>
  <c r="F84" i="18"/>
  <c r="G82" i="18"/>
  <c r="F82" i="18"/>
  <c r="G80" i="18"/>
  <c r="F80" i="18"/>
  <c r="G78" i="18"/>
  <c r="F78" i="18"/>
  <c r="G76" i="18"/>
  <c r="F76" i="18"/>
  <c r="G74" i="18"/>
  <c r="F74" i="18"/>
  <c r="G72" i="18"/>
  <c r="F72" i="18"/>
  <c r="G70" i="18"/>
  <c r="F70" i="18"/>
  <c r="G68" i="18"/>
  <c r="F68" i="18"/>
  <c r="G66" i="18"/>
  <c r="F66" i="18"/>
  <c r="F95" i="13"/>
  <c r="G95" i="13"/>
  <c r="F93" i="13"/>
  <c r="G93" i="13"/>
  <c r="F91" i="13"/>
  <c r="G91" i="13"/>
  <c r="F89" i="13"/>
  <c r="G89" i="13"/>
  <c r="F87" i="13"/>
  <c r="G87" i="13"/>
  <c r="F85" i="13"/>
  <c r="G85" i="13"/>
  <c r="F83" i="13"/>
  <c r="G83" i="13"/>
  <c r="F81" i="13"/>
  <c r="G81" i="13"/>
  <c r="F79" i="13"/>
  <c r="G79" i="13"/>
  <c r="F77" i="13"/>
  <c r="G77" i="13"/>
  <c r="F75" i="13"/>
  <c r="G75" i="13"/>
  <c r="F73" i="13"/>
  <c r="G73" i="13"/>
  <c r="F71" i="13"/>
  <c r="G71" i="13"/>
  <c r="F23" i="15"/>
  <c r="G23" i="15"/>
  <c r="G56" i="14"/>
  <c r="F56" i="14"/>
  <c r="G52" i="14"/>
  <c r="F52" i="14"/>
  <c r="G48" i="14"/>
  <c r="F48" i="14"/>
  <c r="G44" i="14"/>
  <c r="F44" i="14"/>
  <c r="G40" i="14"/>
  <c r="F40" i="14"/>
  <c r="G36" i="14"/>
  <c r="F36" i="14"/>
  <c r="G32" i="14"/>
  <c r="F32" i="14"/>
  <c r="G28" i="14"/>
  <c r="F28" i="14"/>
  <c r="G24" i="14"/>
  <c r="F24" i="14"/>
  <c r="D17" i="4"/>
  <c r="C17" i="4" s="1"/>
  <c r="F6" i="7"/>
  <c r="G6" i="7"/>
  <c r="F10" i="7"/>
  <c r="G10" i="7"/>
  <c r="F12" i="7"/>
  <c r="G12" i="7"/>
  <c r="F18" i="7"/>
  <c r="G18" i="7"/>
  <c r="F22" i="7"/>
  <c r="G22" i="7"/>
  <c r="F25" i="7"/>
  <c r="G25" i="7"/>
  <c r="F29" i="7"/>
  <c r="G29" i="7"/>
  <c r="F33" i="7"/>
  <c r="G33" i="7"/>
  <c r="F37" i="7"/>
  <c r="G37" i="7"/>
  <c r="F40" i="7"/>
  <c r="G40" i="7"/>
  <c r="F44" i="7"/>
  <c r="G44" i="7"/>
  <c r="F48" i="7"/>
  <c r="G48" i="7"/>
  <c r="F53" i="7"/>
  <c r="G53" i="7"/>
  <c r="F56" i="7"/>
  <c r="G56" i="7"/>
  <c r="F60" i="7"/>
  <c r="G60" i="7"/>
  <c r="F64" i="7"/>
  <c r="G64" i="7"/>
  <c r="F69" i="7"/>
  <c r="G69" i="7"/>
  <c r="F72" i="7"/>
  <c r="G72" i="7"/>
  <c r="F76" i="7"/>
  <c r="G76" i="7"/>
  <c r="F81" i="7"/>
  <c r="G81" i="7"/>
  <c r="F84" i="7"/>
  <c r="G84" i="7"/>
  <c r="F88" i="7"/>
  <c r="G88" i="7"/>
  <c r="F90" i="7"/>
  <c r="G90" i="7"/>
  <c r="F96" i="5"/>
  <c r="G96" i="5"/>
  <c r="F92" i="5"/>
  <c r="G92" i="5"/>
  <c r="F88" i="5"/>
  <c r="G88" i="5"/>
  <c r="F84" i="5"/>
  <c r="G84" i="5"/>
  <c r="F80" i="5"/>
  <c r="G80" i="5"/>
  <c r="F76" i="5"/>
  <c r="G76" i="5"/>
  <c r="F72" i="5"/>
  <c r="G72" i="5"/>
  <c r="G63" i="5"/>
  <c r="G40" i="11"/>
  <c r="F40" i="11"/>
  <c r="G36" i="11"/>
  <c r="F36" i="11"/>
  <c r="G32" i="11"/>
  <c r="F32" i="11"/>
  <c r="G28" i="11"/>
  <c r="F28" i="11"/>
  <c r="G24" i="11"/>
  <c r="F24" i="11"/>
  <c r="G20" i="11"/>
  <c r="F20" i="11"/>
  <c r="G16" i="11"/>
  <c r="F16" i="11"/>
  <c r="G12" i="11"/>
  <c r="F12" i="11"/>
  <c r="G6" i="11"/>
  <c r="F6" i="11"/>
  <c r="G93" i="11"/>
  <c r="F93" i="11"/>
  <c r="G89" i="11"/>
  <c r="F89" i="11"/>
  <c r="G85" i="11"/>
  <c r="F85" i="11"/>
  <c r="G81" i="11"/>
  <c r="F81" i="11"/>
  <c r="G74" i="11"/>
  <c r="F74" i="11"/>
  <c r="G70" i="11"/>
  <c r="F70" i="11"/>
  <c r="G66" i="11"/>
  <c r="F66" i="11"/>
  <c r="G60" i="11"/>
  <c r="F60" i="11"/>
  <c r="G56" i="11"/>
  <c r="F56" i="11"/>
  <c r="G52" i="11"/>
  <c r="F52" i="11"/>
  <c r="G48" i="11"/>
  <c r="F48" i="11"/>
  <c r="G44" i="11"/>
  <c r="F44" i="11"/>
  <c r="G77" i="11"/>
  <c r="F77" i="11"/>
  <c r="F62" i="18"/>
  <c r="F60" i="18"/>
  <c r="F52" i="18"/>
  <c r="F48" i="18"/>
  <c r="F44" i="18"/>
  <c r="F40" i="18"/>
  <c r="F36" i="18"/>
  <c r="F32" i="18"/>
  <c r="F28" i="18"/>
  <c r="F24" i="18"/>
  <c r="F20" i="18"/>
  <c r="F16" i="18"/>
  <c r="F10" i="18"/>
  <c r="F6" i="18"/>
  <c r="G6" i="18"/>
  <c r="G86" i="19"/>
  <c r="F86" i="19"/>
  <c r="G82" i="19"/>
  <c r="F82" i="19"/>
  <c r="G78" i="19"/>
  <c r="F78" i="19"/>
  <c r="G74" i="19"/>
  <c r="F74" i="19"/>
  <c r="G70" i="19"/>
  <c r="F70" i="19"/>
  <c r="F87" i="19"/>
  <c r="F79" i="19"/>
  <c r="F75" i="19"/>
  <c r="F71" i="19"/>
  <c r="F67" i="19"/>
  <c r="F61" i="19"/>
  <c r="F50" i="19"/>
  <c r="F46" i="19"/>
  <c r="F42" i="19"/>
  <c r="F38" i="19"/>
  <c r="F34" i="19"/>
  <c r="F30" i="19"/>
  <c r="F26" i="19"/>
  <c r="F22" i="19"/>
  <c r="F18" i="19"/>
  <c r="F14" i="19"/>
  <c r="F6" i="19"/>
  <c r="G79" i="19"/>
  <c r="G71" i="19"/>
  <c r="G61" i="19"/>
  <c r="G46" i="19"/>
  <c r="G38" i="19"/>
  <c r="G30" i="19"/>
  <c r="G22" i="19"/>
  <c r="G14" i="19"/>
  <c r="G10" i="19"/>
  <c r="F83" i="20"/>
  <c r="F75" i="20"/>
  <c r="F67" i="20"/>
  <c r="F54" i="20"/>
  <c r="F42" i="20"/>
  <c r="F34" i="20"/>
  <c r="F22" i="20"/>
  <c r="F10" i="20"/>
  <c r="G87" i="20"/>
  <c r="G75" i="20"/>
  <c r="G67" i="20"/>
  <c r="G50" i="20"/>
  <c r="G42" i="20"/>
  <c r="G34" i="20"/>
  <c r="G26" i="20"/>
  <c r="G18" i="20"/>
  <c r="G6" i="20"/>
  <c r="G66" i="12"/>
  <c r="G62" i="12"/>
  <c r="F62" i="12"/>
  <c r="G56" i="12"/>
  <c r="F56" i="12"/>
  <c r="G52" i="12"/>
  <c r="F52" i="12"/>
  <c r="G48" i="12"/>
  <c r="F48" i="12"/>
  <c r="G44" i="12"/>
  <c r="F44" i="12"/>
  <c r="G40" i="12"/>
  <c r="F40" i="12"/>
  <c r="G36" i="12"/>
  <c r="F36" i="12"/>
  <c r="G32" i="12"/>
  <c r="F32" i="12"/>
  <c r="G28" i="12"/>
  <c r="F28" i="12"/>
  <c r="G24" i="12"/>
  <c r="F24" i="12"/>
  <c r="G18" i="12"/>
  <c r="F18" i="12"/>
  <c r="G14" i="12"/>
  <c r="F14" i="12"/>
  <c r="G10" i="12"/>
  <c r="F10" i="12"/>
  <c r="G6" i="12"/>
  <c r="F6" i="12"/>
  <c r="F55" i="12"/>
  <c r="F47" i="12"/>
  <c r="F35" i="12"/>
  <c r="F27" i="12"/>
  <c r="F19" i="12"/>
  <c r="F11" i="12"/>
  <c r="G59" i="12"/>
  <c r="G47" i="12"/>
  <c r="G39" i="12"/>
  <c r="G31" i="12"/>
  <c r="G19" i="12"/>
  <c r="G11" i="12"/>
  <c r="G7" i="12"/>
  <c r="G3" i="16"/>
  <c r="G61" i="13"/>
  <c r="G57" i="13"/>
  <c r="G53" i="13"/>
  <c r="G49" i="13"/>
  <c r="G43" i="13"/>
  <c r="G39" i="13"/>
  <c r="G35" i="13"/>
  <c r="G31" i="13"/>
  <c r="G27" i="13"/>
  <c r="F62" i="13"/>
  <c r="F54" i="13"/>
  <c r="F42" i="13"/>
  <c r="F34" i="13"/>
  <c r="F26" i="13"/>
  <c r="F57" i="13"/>
  <c r="F49" i="13"/>
  <c r="G92" i="15"/>
  <c r="G88" i="15"/>
  <c r="G84" i="15"/>
  <c r="G80" i="15"/>
  <c r="G76" i="15"/>
  <c r="F93" i="15"/>
  <c r="F85" i="15"/>
  <c r="F73" i="15"/>
  <c r="F61" i="15"/>
  <c r="F53" i="15"/>
  <c r="F41" i="15"/>
  <c r="F33" i="15"/>
  <c r="F25" i="15"/>
  <c r="G23" i="14"/>
  <c r="F23" i="14"/>
  <c r="G59" i="14"/>
  <c r="F59" i="14"/>
  <c r="G53" i="14"/>
  <c r="F53" i="14"/>
  <c r="G49" i="14"/>
  <c r="F49" i="14"/>
  <c r="G45" i="14"/>
  <c r="F45" i="14"/>
  <c r="G41" i="14"/>
  <c r="F41" i="14"/>
  <c r="G37" i="14"/>
  <c r="F37" i="14"/>
  <c r="G33" i="14"/>
  <c r="F33" i="14"/>
  <c r="G29" i="14"/>
  <c r="F29" i="14"/>
  <c r="G25" i="14"/>
  <c r="F25" i="14"/>
  <c r="F88" i="14"/>
  <c r="F76" i="14"/>
  <c r="F62" i="14"/>
  <c r="F50" i="14"/>
  <c r="F38" i="14"/>
  <c r="F30" i="14"/>
  <c r="G92" i="14"/>
  <c r="G84" i="14"/>
  <c r="G72" i="14"/>
  <c r="G58" i="14"/>
  <c r="G50" i="14"/>
  <c r="G38" i="14"/>
  <c r="G30" i="14"/>
  <c r="F95" i="12"/>
  <c r="F86" i="12"/>
  <c r="F78" i="12"/>
  <c r="G86" i="12"/>
  <c r="G82" i="12"/>
  <c r="D35" i="4"/>
  <c r="C35" i="4" s="1"/>
  <c r="B35" i="45" s="1"/>
  <c r="F4" i="7"/>
  <c r="G4" i="7"/>
  <c r="F8" i="7"/>
  <c r="G8" i="7"/>
  <c r="F13" i="7"/>
  <c r="G13" i="7"/>
  <c r="F16" i="7"/>
  <c r="G16" i="7"/>
  <c r="F20" i="7"/>
  <c r="G20" i="7"/>
  <c r="F23" i="7"/>
  <c r="G23" i="7"/>
  <c r="F27" i="7"/>
  <c r="G27" i="7"/>
  <c r="F31" i="7"/>
  <c r="G31" i="7"/>
  <c r="F35" i="7"/>
  <c r="G35" i="7"/>
  <c r="F42" i="7"/>
  <c r="G42" i="7"/>
  <c r="F46" i="7"/>
  <c r="G46" i="7"/>
  <c r="F50" i="7"/>
  <c r="G50" i="7"/>
  <c r="F52" i="7"/>
  <c r="G52" i="7"/>
  <c r="F58" i="7"/>
  <c r="G58" i="7"/>
  <c r="F62" i="7"/>
  <c r="G62" i="7"/>
  <c r="F66" i="7"/>
  <c r="G66" i="7"/>
  <c r="F68" i="7"/>
  <c r="G68" i="7"/>
  <c r="F74" i="7"/>
  <c r="G74" i="7"/>
  <c r="F78" i="7"/>
  <c r="G78" i="7"/>
  <c r="F80" i="7"/>
  <c r="G80" i="7"/>
  <c r="F86" i="7"/>
  <c r="G86" i="7"/>
  <c r="F91" i="7"/>
  <c r="G91" i="7"/>
  <c r="D22" i="8"/>
  <c r="C22" i="8" s="1"/>
  <c r="F22" i="8" s="1"/>
  <c r="F94" i="5"/>
  <c r="G94" i="5"/>
  <c r="F90" i="5"/>
  <c r="G90" i="5"/>
  <c r="F86" i="5"/>
  <c r="G86" i="5"/>
  <c r="F82" i="5"/>
  <c r="G82" i="5"/>
  <c r="F78" i="5"/>
  <c r="G78" i="5"/>
  <c r="F74" i="5"/>
  <c r="G74" i="5"/>
  <c r="F70" i="5"/>
  <c r="G70" i="5"/>
  <c r="G3" i="11"/>
  <c r="F3" i="11"/>
  <c r="G38" i="11"/>
  <c r="F38" i="11"/>
  <c r="G34" i="11"/>
  <c r="F34" i="11"/>
  <c r="G30" i="11"/>
  <c r="F30" i="11"/>
  <c r="G26" i="11"/>
  <c r="F26" i="11"/>
  <c r="G22" i="11"/>
  <c r="F22" i="11"/>
  <c r="G18" i="11"/>
  <c r="F18" i="11"/>
  <c r="G14" i="11"/>
  <c r="F14" i="11"/>
  <c r="G10" i="11"/>
  <c r="F10" i="11"/>
  <c r="G8" i="11"/>
  <c r="F8" i="11"/>
  <c r="G4" i="11"/>
  <c r="F4" i="11"/>
  <c r="G91" i="11"/>
  <c r="F91" i="11"/>
  <c r="G87" i="11"/>
  <c r="F87" i="11"/>
  <c r="G83" i="11"/>
  <c r="F83" i="11"/>
  <c r="G79" i="11"/>
  <c r="F79" i="11"/>
  <c r="G72" i="11"/>
  <c r="F72" i="11"/>
  <c r="G68" i="11"/>
  <c r="F68" i="11"/>
  <c r="G64" i="11"/>
  <c r="F64" i="11"/>
  <c r="G62" i="11"/>
  <c r="F62" i="11"/>
  <c r="G58" i="11"/>
  <c r="F58" i="11"/>
  <c r="G54" i="11"/>
  <c r="F54" i="11"/>
  <c r="G50" i="11"/>
  <c r="F50" i="11"/>
  <c r="G46" i="11"/>
  <c r="F46" i="11"/>
  <c r="G42" i="11"/>
  <c r="F42" i="11"/>
  <c r="G78" i="11"/>
  <c r="F78" i="11"/>
  <c r="F64" i="18"/>
  <c r="F54" i="18"/>
  <c r="F50" i="18"/>
  <c r="F46" i="18"/>
  <c r="F42" i="18"/>
  <c r="F38" i="18"/>
  <c r="F34" i="18"/>
  <c r="F30" i="18"/>
  <c r="F26" i="18"/>
  <c r="F22" i="18"/>
  <c r="F18" i="18"/>
  <c r="F14" i="18"/>
  <c r="F12" i="18"/>
  <c r="F8" i="18"/>
  <c r="F4" i="18"/>
  <c r="G62" i="18"/>
  <c r="G54" i="18"/>
  <c r="G46" i="18"/>
  <c r="G42" i="18"/>
  <c r="G34" i="18"/>
  <c r="G26" i="18"/>
  <c r="G18" i="18"/>
  <c r="G10" i="18"/>
  <c r="G84" i="19"/>
  <c r="F84" i="19"/>
  <c r="G80" i="19"/>
  <c r="F80" i="19"/>
  <c r="G76" i="19"/>
  <c r="F76" i="19"/>
  <c r="G72" i="19"/>
  <c r="F72" i="19"/>
  <c r="G68" i="19"/>
  <c r="F68" i="19"/>
  <c r="G64" i="19"/>
  <c r="F64" i="19"/>
  <c r="G62" i="19"/>
  <c r="F62" i="19"/>
  <c r="F83" i="19"/>
  <c r="G87" i="19"/>
  <c r="G83" i="19"/>
  <c r="G75" i="19"/>
  <c r="G67" i="19"/>
  <c r="G50" i="19"/>
  <c r="G42" i="19"/>
  <c r="G34" i="19"/>
  <c r="G26" i="19"/>
  <c r="G18" i="19"/>
  <c r="F87" i="20"/>
  <c r="F79" i="20"/>
  <c r="F71" i="20"/>
  <c r="F63" i="20"/>
  <c r="F50" i="20"/>
  <c r="F46" i="20"/>
  <c r="F38" i="20"/>
  <c r="F30" i="20"/>
  <c r="F26" i="20"/>
  <c r="F18" i="20"/>
  <c r="F14" i="20"/>
  <c r="G83" i="20"/>
  <c r="G79" i="20"/>
  <c r="G71" i="20"/>
  <c r="G63" i="20"/>
  <c r="G54" i="20"/>
  <c r="G46" i="20"/>
  <c r="G38" i="20"/>
  <c r="G30" i="20"/>
  <c r="G22" i="20"/>
  <c r="G14" i="20"/>
  <c r="G60" i="12"/>
  <c r="F60" i="12"/>
  <c r="G58" i="12"/>
  <c r="F58" i="12"/>
  <c r="G54" i="12"/>
  <c r="F54" i="12"/>
  <c r="G50" i="12"/>
  <c r="F50" i="12"/>
  <c r="G46" i="12"/>
  <c r="F46" i="12"/>
  <c r="G42" i="12"/>
  <c r="F42" i="12"/>
  <c r="G38" i="12"/>
  <c r="F38" i="12"/>
  <c r="G34" i="12"/>
  <c r="F34" i="12"/>
  <c r="G30" i="12"/>
  <c r="F30" i="12"/>
  <c r="G26" i="12"/>
  <c r="F26" i="12"/>
  <c r="G22" i="12"/>
  <c r="F22" i="12"/>
  <c r="G20" i="12"/>
  <c r="F20" i="12"/>
  <c r="G16" i="12"/>
  <c r="F16" i="12"/>
  <c r="G12" i="12"/>
  <c r="F12" i="12"/>
  <c r="G8" i="12"/>
  <c r="F8" i="12"/>
  <c r="G4" i="12"/>
  <c r="F4" i="12"/>
  <c r="G74" i="12"/>
  <c r="F59" i="12"/>
  <c r="F51" i="12"/>
  <c r="F43" i="12"/>
  <c r="F39" i="12"/>
  <c r="F31" i="12"/>
  <c r="F23" i="12"/>
  <c r="F15" i="12"/>
  <c r="F7" i="12"/>
  <c r="G55" i="12"/>
  <c r="G51" i="12"/>
  <c r="G43" i="12"/>
  <c r="G35" i="12"/>
  <c r="G27" i="12"/>
  <c r="G15" i="12"/>
  <c r="F23" i="13"/>
  <c r="G59" i="13"/>
  <c r="G55" i="13"/>
  <c r="G51" i="13"/>
  <c r="G47" i="13"/>
  <c r="G45" i="13"/>
  <c r="G41" i="13"/>
  <c r="G37" i="13"/>
  <c r="G33" i="13"/>
  <c r="G29" i="13"/>
  <c r="G25" i="13"/>
  <c r="F58" i="13"/>
  <c r="F50" i="13"/>
  <c r="F46" i="13"/>
  <c r="F38" i="13"/>
  <c r="F30" i="13"/>
  <c r="F61" i="13"/>
  <c r="F53" i="13"/>
  <c r="F45" i="13"/>
  <c r="F41" i="13"/>
  <c r="F33" i="13"/>
  <c r="F25" i="13"/>
  <c r="G96" i="15"/>
  <c r="G94" i="15"/>
  <c r="G90" i="15"/>
  <c r="G86" i="15"/>
  <c r="G82" i="15"/>
  <c r="G78" i="15"/>
  <c r="G74" i="15"/>
  <c r="F89" i="15"/>
  <c r="F81" i="15"/>
  <c r="F77" i="15"/>
  <c r="F94" i="15"/>
  <c r="F90" i="15"/>
  <c r="F82" i="15"/>
  <c r="F74" i="15"/>
  <c r="F70" i="15"/>
  <c r="F57" i="15"/>
  <c r="F49" i="15"/>
  <c r="F45" i="15"/>
  <c r="F37" i="15"/>
  <c r="F29" i="15"/>
  <c r="G57" i="14"/>
  <c r="F57" i="14"/>
  <c r="G55" i="14"/>
  <c r="F55" i="14"/>
  <c r="G51" i="14"/>
  <c r="F51" i="14"/>
  <c r="G47" i="14"/>
  <c r="F47" i="14"/>
  <c r="G43" i="14"/>
  <c r="F43" i="14"/>
  <c r="G39" i="14"/>
  <c r="F39" i="14"/>
  <c r="G35" i="14"/>
  <c r="F35" i="14"/>
  <c r="G31" i="14"/>
  <c r="F31" i="14"/>
  <c r="G27" i="14"/>
  <c r="F27" i="14"/>
  <c r="F96" i="14"/>
  <c r="F92" i="14"/>
  <c r="F84" i="14"/>
  <c r="F80" i="14"/>
  <c r="F72" i="14"/>
  <c r="F58" i="14"/>
  <c r="F54" i="14"/>
  <c r="F46" i="14"/>
  <c r="F42" i="14"/>
  <c r="F34" i="14"/>
  <c r="F26" i="14"/>
  <c r="G96" i="14"/>
  <c r="G88" i="14"/>
  <c r="G80" i="14"/>
  <c r="G76" i="14"/>
  <c r="G62" i="14"/>
  <c r="G54" i="14"/>
  <c r="G46" i="14"/>
  <c r="G42" i="14"/>
  <c r="G34" i="14"/>
  <c r="G26" i="14"/>
  <c r="F90" i="12"/>
  <c r="F82" i="12"/>
  <c r="G95" i="12"/>
  <c r="G90" i="12"/>
  <c r="G78" i="12"/>
  <c r="F93" i="33"/>
  <c r="F94" i="33"/>
  <c r="F93" i="36"/>
  <c r="F94" i="36"/>
  <c r="G94" i="36"/>
  <c r="G65" i="5"/>
  <c r="F65" i="5"/>
  <c r="F66" i="5"/>
  <c r="D4" i="4"/>
  <c r="C4" i="4" s="1"/>
  <c r="B4" i="45" s="1"/>
  <c r="D6" i="4"/>
  <c r="C6" i="4" s="1"/>
  <c r="D12" i="4"/>
  <c r="C12" i="4" s="1"/>
  <c r="G12" i="4" s="1"/>
  <c r="D14" i="4"/>
  <c r="C14" i="4" s="1"/>
  <c r="B14" i="45" s="1"/>
  <c r="D19" i="4"/>
  <c r="C19" i="4" s="1"/>
  <c r="B19" i="45" s="1"/>
  <c r="D24" i="4"/>
  <c r="C24" i="4" s="1"/>
  <c r="D31" i="4"/>
  <c r="C31" i="4" s="1"/>
  <c r="B31" i="45" s="1"/>
  <c r="D40" i="4"/>
  <c r="C40" i="4" s="1"/>
  <c r="B40" i="45" s="1"/>
  <c r="D46" i="4"/>
  <c r="C46" i="4" s="1"/>
  <c r="B46" i="45" s="1"/>
  <c r="D48" i="4"/>
  <c r="C48" i="4" s="1"/>
  <c r="D55" i="4"/>
  <c r="C55" i="4" s="1"/>
  <c r="F3" i="5"/>
  <c r="G3" i="5"/>
  <c r="F3" i="7"/>
  <c r="G3" i="7"/>
  <c r="F5" i="7"/>
  <c r="G5" i="7"/>
  <c r="F7" i="7"/>
  <c r="G7" i="7"/>
  <c r="F9" i="7"/>
  <c r="G9" i="7"/>
  <c r="F11" i="7"/>
  <c r="G11" i="7"/>
  <c r="F15" i="7"/>
  <c r="G15" i="7"/>
  <c r="F17" i="7"/>
  <c r="G17" i="7"/>
  <c r="F19" i="7"/>
  <c r="G19" i="7"/>
  <c r="F21" i="7"/>
  <c r="G21" i="7"/>
  <c r="F24" i="7"/>
  <c r="G24" i="7"/>
  <c r="F26" i="7"/>
  <c r="G26" i="7"/>
  <c r="F28" i="7"/>
  <c r="G28" i="7"/>
  <c r="F30" i="7"/>
  <c r="G30" i="7"/>
  <c r="F32" i="7"/>
  <c r="G32" i="7"/>
  <c r="F34" i="7"/>
  <c r="G34" i="7"/>
  <c r="F36" i="7"/>
  <c r="G36" i="7"/>
  <c r="F39" i="7"/>
  <c r="G39" i="7"/>
  <c r="F41" i="7"/>
  <c r="G41" i="7"/>
  <c r="F43" i="7"/>
  <c r="G43" i="7"/>
  <c r="F45" i="7"/>
  <c r="G45" i="7"/>
  <c r="F47" i="7"/>
  <c r="G47" i="7"/>
  <c r="F49" i="7"/>
  <c r="G49" i="7"/>
  <c r="F51" i="7"/>
  <c r="G51" i="7"/>
  <c r="F55" i="7"/>
  <c r="G55" i="7"/>
  <c r="F57" i="7"/>
  <c r="G57" i="7"/>
  <c r="F59" i="7"/>
  <c r="G59" i="7"/>
  <c r="F61" i="7"/>
  <c r="G61" i="7"/>
  <c r="F63" i="7"/>
  <c r="G63" i="7"/>
  <c r="F65" i="7"/>
  <c r="G65" i="7"/>
  <c r="F67" i="7"/>
  <c r="G67" i="7"/>
  <c r="F71" i="7"/>
  <c r="G71" i="7"/>
  <c r="F73" i="7"/>
  <c r="G73" i="7"/>
  <c r="F75" i="7"/>
  <c r="G75" i="7"/>
  <c r="F77" i="7"/>
  <c r="G77" i="7"/>
  <c r="F79" i="7"/>
  <c r="G79" i="7"/>
  <c r="F83" i="7"/>
  <c r="G83" i="7"/>
  <c r="F85" i="7"/>
  <c r="G85" i="7"/>
  <c r="F87" i="7"/>
  <c r="G87" i="7"/>
  <c r="F89" i="7"/>
  <c r="G89" i="7"/>
  <c r="D10" i="8"/>
  <c r="C10" i="8" s="1"/>
  <c r="R18" i="45" s="1"/>
  <c r="D17" i="8"/>
  <c r="C17" i="8" s="1"/>
  <c r="R25" i="45" s="1"/>
  <c r="D21" i="8"/>
  <c r="C21" i="8" s="1"/>
  <c r="D42" i="8"/>
  <c r="C42" i="8" s="1"/>
  <c r="D50" i="8"/>
  <c r="C50" i="8" s="1"/>
  <c r="R58" i="45" s="1"/>
  <c r="F97" i="5"/>
  <c r="G97" i="5"/>
  <c r="F95" i="5"/>
  <c r="G95" i="5"/>
  <c r="F93" i="5"/>
  <c r="G93" i="5"/>
  <c r="F91" i="5"/>
  <c r="G91" i="5"/>
  <c r="F89" i="5"/>
  <c r="G89" i="5"/>
  <c r="F87" i="5"/>
  <c r="G87" i="5"/>
  <c r="F85" i="5"/>
  <c r="G85" i="5"/>
  <c r="F83" i="5"/>
  <c r="G83" i="5"/>
  <c r="F81" i="5"/>
  <c r="G81" i="5"/>
  <c r="F79" i="5"/>
  <c r="G79" i="5"/>
  <c r="F77" i="5"/>
  <c r="G77" i="5"/>
  <c r="F75" i="5"/>
  <c r="G75" i="5"/>
  <c r="F73" i="5"/>
  <c r="G73" i="5"/>
  <c r="F71" i="5"/>
  <c r="G71" i="5"/>
  <c r="F69" i="5"/>
  <c r="G69" i="5"/>
  <c r="G41" i="11"/>
  <c r="F41" i="11"/>
  <c r="G39" i="11"/>
  <c r="F39" i="11"/>
  <c r="G37" i="11"/>
  <c r="F37" i="11"/>
  <c r="G35" i="11"/>
  <c r="F35" i="11"/>
  <c r="G33" i="11"/>
  <c r="F33" i="11"/>
  <c r="G31" i="11"/>
  <c r="F31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F17" i="11"/>
  <c r="G15" i="11"/>
  <c r="F15" i="11"/>
  <c r="G13" i="11"/>
  <c r="F13" i="11"/>
  <c r="G11" i="11"/>
  <c r="F11" i="11"/>
  <c r="G9" i="11"/>
  <c r="F9" i="11"/>
  <c r="G7" i="11"/>
  <c r="F7" i="11"/>
  <c r="G5" i="11"/>
  <c r="F5" i="11"/>
  <c r="G94" i="11"/>
  <c r="F94" i="11"/>
  <c r="G92" i="11"/>
  <c r="F92" i="11"/>
  <c r="G90" i="11"/>
  <c r="F90" i="11"/>
  <c r="G88" i="11"/>
  <c r="F88" i="11"/>
  <c r="G86" i="11"/>
  <c r="F86" i="11"/>
  <c r="G84" i="11"/>
  <c r="F84" i="11"/>
  <c r="G82" i="11"/>
  <c r="F82" i="11"/>
  <c r="G80" i="11"/>
  <c r="F80" i="11"/>
  <c r="G75" i="11"/>
  <c r="F75" i="11"/>
  <c r="G73" i="11"/>
  <c r="F73" i="11"/>
  <c r="G71" i="11"/>
  <c r="F71" i="11"/>
  <c r="G69" i="11"/>
  <c r="F69" i="11"/>
  <c r="G67" i="11"/>
  <c r="F67" i="11"/>
  <c r="G65" i="11"/>
  <c r="F65" i="11"/>
  <c r="G63" i="11"/>
  <c r="F63" i="11"/>
  <c r="G61" i="11"/>
  <c r="F61" i="11"/>
  <c r="G59" i="11"/>
  <c r="F59" i="11"/>
  <c r="G57" i="11"/>
  <c r="F57" i="11"/>
  <c r="G55" i="11"/>
  <c r="F55" i="11"/>
  <c r="G53" i="11"/>
  <c r="F53" i="11"/>
  <c r="G51" i="11"/>
  <c r="F51" i="11"/>
  <c r="G49" i="11"/>
  <c r="F49" i="11"/>
  <c r="G47" i="11"/>
  <c r="F47" i="11"/>
  <c r="G45" i="11"/>
  <c r="F45" i="11"/>
  <c r="G43" i="11"/>
  <c r="F43" i="11"/>
  <c r="G76" i="11"/>
  <c r="F76" i="11"/>
  <c r="F86" i="18"/>
  <c r="G86" i="18"/>
  <c r="G64" i="18"/>
  <c r="G60" i="18"/>
  <c r="G52" i="18"/>
  <c r="G48" i="18"/>
  <c r="G44" i="18"/>
  <c r="G40" i="18"/>
  <c r="G36" i="18"/>
  <c r="G32" i="18"/>
  <c r="G28" i="18"/>
  <c r="G24" i="18"/>
  <c r="G20" i="18"/>
  <c r="G16" i="18"/>
  <c r="G12" i="18"/>
  <c r="G8" i="18"/>
  <c r="G4" i="18"/>
  <c r="G57" i="19"/>
  <c r="G53" i="19"/>
  <c r="F53" i="19"/>
  <c r="G51" i="19"/>
  <c r="F51" i="19"/>
  <c r="G49" i="19"/>
  <c r="F49" i="19"/>
  <c r="G47" i="19"/>
  <c r="F47" i="19"/>
  <c r="G45" i="19"/>
  <c r="F45" i="19"/>
  <c r="G43" i="19"/>
  <c r="F43" i="19"/>
  <c r="G41" i="19"/>
  <c r="F41" i="19"/>
  <c r="G39" i="19"/>
  <c r="F39" i="19"/>
  <c r="G37" i="19"/>
  <c r="F37" i="19"/>
  <c r="G35" i="19"/>
  <c r="F35" i="19"/>
  <c r="G33" i="19"/>
  <c r="F33" i="19"/>
  <c r="G31" i="19"/>
  <c r="F31" i="19"/>
  <c r="G29" i="19"/>
  <c r="F29" i="19"/>
  <c r="G27" i="19"/>
  <c r="F27" i="19"/>
  <c r="G25" i="19"/>
  <c r="F25" i="19"/>
  <c r="G23" i="19"/>
  <c r="F23" i="19"/>
  <c r="G21" i="19"/>
  <c r="F21" i="19"/>
  <c r="G19" i="19"/>
  <c r="F19" i="19"/>
  <c r="G17" i="19"/>
  <c r="F17" i="19"/>
  <c r="G15" i="19"/>
  <c r="F15" i="19"/>
  <c r="G13" i="19"/>
  <c r="F13" i="19"/>
  <c r="G11" i="19"/>
  <c r="F11" i="19"/>
  <c r="G9" i="19"/>
  <c r="F9" i="19"/>
  <c r="G7" i="19"/>
  <c r="F7" i="19"/>
  <c r="G5" i="19"/>
  <c r="F5" i="19"/>
  <c r="F52" i="19"/>
  <c r="F48" i="19"/>
  <c r="F44" i="19"/>
  <c r="F40" i="19"/>
  <c r="F36" i="19"/>
  <c r="F32" i="19"/>
  <c r="F28" i="19"/>
  <c r="F24" i="19"/>
  <c r="F20" i="19"/>
  <c r="F16" i="19"/>
  <c r="F12" i="19"/>
  <c r="F8" i="19"/>
  <c r="F4" i="19"/>
  <c r="G52" i="19"/>
  <c r="G48" i="19"/>
  <c r="G44" i="19"/>
  <c r="G40" i="19"/>
  <c r="G36" i="19"/>
  <c r="G32" i="19"/>
  <c r="G28" i="19"/>
  <c r="G24" i="19"/>
  <c r="G20" i="19"/>
  <c r="G16" i="19"/>
  <c r="F88" i="20"/>
  <c r="G86" i="20"/>
  <c r="F86" i="20"/>
  <c r="G84" i="20"/>
  <c r="F84" i="20"/>
  <c r="G82" i="20"/>
  <c r="F82" i="20"/>
  <c r="G80" i="20"/>
  <c r="F80" i="20"/>
  <c r="G78" i="20"/>
  <c r="F78" i="20"/>
  <c r="G76" i="20"/>
  <c r="F76" i="20"/>
  <c r="G74" i="20"/>
  <c r="F74" i="20"/>
  <c r="G72" i="20"/>
  <c r="F72" i="20"/>
  <c r="G70" i="20"/>
  <c r="F70" i="20"/>
  <c r="G68" i="20"/>
  <c r="F68" i="20"/>
  <c r="G66" i="20"/>
  <c r="F66" i="20"/>
  <c r="G64" i="20"/>
  <c r="F64" i="20"/>
  <c r="G62" i="20"/>
  <c r="F62" i="20"/>
  <c r="G60" i="20"/>
  <c r="F60" i="20"/>
  <c r="G53" i="20"/>
  <c r="F53" i="20"/>
  <c r="G51" i="20"/>
  <c r="F51" i="20"/>
  <c r="G49" i="20"/>
  <c r="F49" i="20"/>
  <c r="G47" i="20"/>
  <c r="F47" i="20"/>
  <c r="G45" i="20"/>
  <c r="F45" i="20"/>
  <c r="G43" i="20"/>
  <c r="F43" i="20"/>
  <c r="G41" i="20"/>
  <c r="F41" i="20"/>
  <c r="G39" i="20"/>
  <c r="F39" i="20"/>
  <c r="G37" i="20"/>
  <c r="F37" i="20"/>
  <c r="G35" i="20"/>
  <c r="F35" i="20"/>
  <c r="G33" i="20"/>
  <c r="F33" i="20"/>
  <c r="G31" i="20"/>
  <c r="F31" i="20"/>
  <c r="G29" i="20"/>
  <c r="F29" i="20"/>
  <c r="G27" i="20"/>
  <c r="F27" i="20"/>
  <c r="G25" i="20"/>
  <c r="F25" i="20"/>
  <c r="G23" i="20"/>
  <c r="F23" i="20"/>
  <c r="G21" i="20"/>
  <c r="F21" i="20"/>
  <c r="G19" i="20"/>
  <c r="F19" i="20"/>
  <c r="G17" i="20"/>
  <c r="F17" i="20"/>
  <c r="G15" i="20"/>
  <c r="F15" i="20"/>
  <c r="G13" i="20"/>
  <c r="F13" i="20"/>
  <c r="G11" i="20"/>
  <c r="F11" i="20"/>
  <c r="G9" i="20"/>
  <c r="F9" i="20"/>
  <c r="G7" i="20"/>
  <c r="F7" i="20"/>
  <c r="G5" i="20"/>
  <c r="F5" i="20"/>
  <c r="G3" i="20"/>
  <c r="F3" i="20"/>
  <c r="F85" i="20"/>
  <c r="F81" i="20"/>
  <c r="F77" i="20"/>
  <c r="F73" i="20"/>
  <c r="F69" i="20"/>
  <c r="F65" i="20"/>
  <c r="F61" i="20"/>
  <c r="F52" i="20"/>
  <c r="F48" i="20"/>
  <c r="F44" i="20"/>
  <c r="F40" i="20"/>
  <c r="F36" i="20"/>
  <c r="F32" i="20"/>
  <c r="F28" i="20"/>
  <c r="F24" i="20"/>
  <c r="F20" i="20"/>
  <c r="F16" i="20"/>
  <c r="F12" i="20"/>
  <c r="F8" i="20"/>
  <c r="F4" i="20"/>
  <c r="G85" i="20"/>
  <c r="G81" i="20"/>
  <c r="G77" i="20"/>
  <c r="G73" i="20"/>
  <c r="G69" i="20"/>
  <c r="G65" i="20"/>
  <c r="G61" i="20"/>
  <c r="G52" i="20"/>
  <c r="G48" i="20"/>
  <c r="G44" i="20"/>
  <c r="G40" i="20"/>
  <c r="G36" i="20"/>
  <c r="G32" i="20"/>
  <c r="G28" i="20"/>
  <c r="G24" i="20"/>
  <c r="G20" i="20"/>
  <c r="G16" i="20"/>
  <c r="G73" i="12"/>
  <c r="F73" i="12"/>
  <c r="G71" i="12"/>
  <c r="F71" i="12"/>
  <c r="F61" i="12"/>
  <c r="F57" i="12"/>
  <c r="F53" i="12"/>
  <c r="F49" i="12"/>
  <c r="F45" i="12"/>
  <c r="F41" i="12"/>
  <c r="F37" i="12"/>
  <c r="F33" i="12"/>
  <c r="F29" i="12"/>
  <c r="F25" i="12"/>
  <c r="F21" i="12"/>
  <c r="F17" i="12"/>
  <c r="F13" i="12"/>
  <c r="F9" i="12"/>
  <c r="F5" i="12"/>
  <c r="G61" i="12"/>
  <c r="G57" i="12"/>
  <c r="G53" i="12"/>
  <c r="G49" i="12"/>
  <c r="G45" i="12"/>
  <c r="G41" i="12"/>
  <c r="G37" i="12"/>
  <c r="G33" i="12"/>
  <c r="G29" i="12"/>
  <c r="G25" i="12"/>
  <c r="G21" i="12"/>
  <c r="G17" i="12"/>
  <c r="G13" i="12"/>
  <c r="G9" i="12"/>
  <c r="G5" i="12"/>
  <c r="G96" i="16"/>
  <c r="F96" i="16"/>
  <c r="G94" i="16"/>
  <c r="F94" i="16"/>
  <c r="G92" i="16"/>
  <c r="F92" i="16"/>
  <c r="G90" i="16"/>
  <c r="F90" i="16"/>
  <c r="G88" i="16"/>
  <c r="F88" i="16"/>
  <c r="G86" i="16"/>
  <c r="F86" i="16"/>
  <c r="G84" i="16"/>
  <c r="F84" i="16"/>
  <c r="G82" i="16"/>
  <c r="F82" i="16"/>
  <c r="G80" i="16"/>
  <c r="F80" i="16"/>
  <c r="G78" i="16"/>
  <c r="F78" i="16"/>
  <c r="G76" i="16"/>
  <c r="F76" i="16"/>
  <c r="G74" i="16"/>
  <c r="F71" i="16"/>
  <c r="F61" i="16"/>
  <c r="F57" i="16"/>
  <c r="F53" i="16"/>
  <c r="F49" i="16"/>
  <c r="F45" i="16"/>
  <c r="F41" i="16"/>
  <c r="F37" i="16"/>
  <c r="F33" i="16"/>
  <c r="F29" i="16"/>
  <c r="F25" i="16"/>
  <c r="F21" i="16"/>
  <c r="F17" i="16"/>
  <c r="F13" i="16"/>
  <c r="F9" i="16"/>
  <c r="F5" i="16"/>
  <c r="G96" i="13"/>
  <c r="G94" i="13"/>
  <c r="G92" i="13"/>
  <c r="G90" i="13"/>
  <c r="G88" i="13"/>
  <c r="G86" i="13"/>
  <c r="G84" i="13"/>
  <c r="G82" i="13"/>
  <c r="G80" i="13"/>
  <c r="G78" i="13"/>
  <c r="G76" i="13"/>
  <c r="G74" i="13"/>
  <c r="G72" i="13"/>
  <c r="G70" i="13"/>
  <c r="F60" i="13"/>
  <c r="F56" i="13"/>
  <c r="F52" i="13"/>
  <c r="F48" i="13"/>
  <c r="F44" i="13"/>
  <c r="F40" i="13"/>
  <c r="F36" i="13"/>
  <c r="F32" i="13"/>
  <c r="F28" i="13"/>
  <c r="F24" i="13"/>
  <c r="F94" i="13"/>
  <c r="F90" i="13"/>
  <c r="F86" i="13"/>
  <c r="F82" i="13"/>
  <c r="F78" i="13"/>
  <c r="F74" i="13"/>
  <c r="F70" i="13"/>
  <c r="F59" i="13"/>
  <c r="F55" i="13"/>
  <c r="F51" i="13"/>
  <c r="F47" i="13"/>
  <c r="F43" i="13"/>
  <c r="F39" i="13"/>
  <c r="F35" i="13"/>
  <c r="F31" i="13"/>
  <c r="F27" i="13"/>
  <c r="G23" i="13"/>
  <c r="G62" i="13"/>
  <c r="G58" i="13"/>
  <c r="G54" i="13"/>
  <c r="G50" i="13"/>
  <c r="G46" i="13"/>
  <c r="G42" i="13"/>
  <c r="G38" i="13"/>
  <c r="G34" i="13"/>
  <c r="G30" i="13"/>
  <c r="G26" i="13"/>
  <c r="F95" i="15"/>
  <c r="F91" i="15"/>
  <c r="F87" i="15"/>
  <c r="F83" i="15"/>
  <c r="F79" i="15"/>
  <c r="F75" i="15"/>
  <c r="F96" i="15"/>
  <c r="F92" i="15"/>
  <c r="F88" i="15"/>
  <c r="F84" i="15"/>
  <c r="F80" i="15"/>
  <c r="F76" i="15"/>
  <c r="F72" i="15"/>
  <c r="F59" i="15"/>
  <c r="F55" i="15"/>
  <c r="F51" i="15"/>
  <c r="F47" i="15"/>
  <c r="F43" i="15"/>
  <c r="F39" i="15"/>
  <c r="F35" i="15"/>
  <c r="F31" i="15"/>
  <c r="F27" i="15"/>
  <c r="G93" i="15"/>
  <c r="G89" i="15"/>
  <c r="G85" i="15"/>
  <c r="G81" i="15"/>
  <c r="G77" i="15"/>
  <c r="G73" i="15"/>
  <c r="G60" i="15"/>
  <c r="G56" i="15"/>
  <c r="G52" i="15"/>
  <c r="G48" i="15"/>
  <c r="G44" i="15"/>
  <c r="G40" i="15"/>
  <c r="G36" i="15"/>
  <c r="G32" i="15"/>
  <c r="G28" i="15"/>
  <c r="G24" i="15"/>
  <c r="G95" i="14"/>
  <c r="F95" i="14"/>
  <c r="G93" i="14"/>
  <c r="F93" i="14"/>
  <c r="G91" i="14"/>
  <c r="F91" i="14"/>
  <c r="G89" i="14"/>
  <c r="F89" i="14"/>
  <c r="G87" i="14"/>
  <c r="F87" i="14"/>
  <c r="G85" i="14"/>
  <c r="F85" i="14"/>
  <c r="G83" i="14"/>
  <c r="F83" i="14"/>
  <c r="G81" i="14"/>
  <c r="F81" i="14"/>
  <c r="G79" i="14"/>
  <c r="F79" i="14"/>
  <c r="G77" i="14"/>
  <c r="F77" i="14"/>
  <c r="G75" i="14"/>
  <c r="F75" i="14"/>
  <c r="G73" i="14"/>
  <c r="F73" i="14"/>
  <c r="G71" i="14"/>
  <c r="F71" i="14"/>
  <c r="G63" i="14"/>
  <c r="F63" i="14"/>
  <c r="G61" i="14"/>
  <c r="F61" i="14"/>
  <c r="F94" i="14"/>
  <c r="F90" i="14"/>
  <c r="F86" i="14"/>
  <c r="F82" i="14"/>
  <c r="F78" i="14"/>
  <c r="F74" i="14"/>
  <c r="F70" i="14"/>
  <c r="F60" i="14"/>
  <c r="G94" i="14"/>
  <c r="G90" i="14"/>
  <c r="G86" i="14"/>
  <c r="G82" i="14"/>
  <c r="G78" i="14"/>
  <c r="G74" i="14"/>
  <c r="G70" i="14"/>
  <c r="G60" i="14"/>
  <c r="G96" i="12"/>
  <c r="F96" i="12"/>
  <c r="F92" i="12"/>
  <c r="F88" i="12"/>
  <c r="F84" i="12"/>
  <c r="F80" i="12"/>
  <c r="F76" i="12"/>
  <c r="G92" i="12"/>
  <c r="G88" i="12"/>
  <c r="G84" i="12"/>
  <c r="G80" i="12"/>
  <c r="G76" i="12"/>
  <c r="G94" i="32"/>
  <c r="F94" i="32"/>
  <c r="F93" i="31"/>
  <c r="F96" i="31"/>
  <c r="G94" i="30"/>
  <c r="F96" i="30"/>
  <c r="G67" i="5"/>
  <c r="F67" i="5"/>
  <c r="F68" i="5"/>
  <c r="F64" i="5"/>
  <c r="G3" i="40"/>
  <c r="F3" i="40"/>
  <c r="G83" i="40"/>
  <c r="F83" i="40"/>
  <c r="G81" i="40"/>
  <c r="F81" i="40"/>
  <c r="G79" i="40"/>
  <c r="F79" i="40"/>
  <c r="G77" i="40"/>
  <c r="F77" i="40"/>
  <c r="G75" i="40"/>
  <c r="F75" i="40"/>
  <c r="G73" i="40"/>
  <c r="F73" i="40"/>
  <c r="G71" i="40"/>
  <c r="F71" i="40"/>
  <c r="G69" i="40"/>
  <c r="F69" i="40"/>
  <c r="G67" i="40"/>
  <c r="F67" i="40"/>
  <c r="G65" i="40"/>
  <c r="F65" i="40"/>
  <c r="G63" i="40"/>
  <c r="F63" i="40"/>
  <c r="G61" i="40"/>
  <c r="F61" i="40"/>
  <c r="G59" i="40"/>
  <c r="F59" i="40"/>
  <c r="G57" i="40"/>
  <c r="F57" i="40"/>
  <c r="G49" i="40"/>
  <c r="F49" i="40"/>
  <c r="G47" i="40"/>
  <c r="F47" i="40"/>
  <c r="G45" i="40"/>
  <c r="F45" i="40"/>
  <c r="G43" i="40"/>
  <c r="F43" i="40"/>
  <c r="G41" i="40"/>
  <c r="F41" i="40"/>
  <c r="G39" i="40"/>
  <c r="F39" i="40"/>
  <c r="G37" i="40"/>
  <c r="F37" i="40"/>
  <c r="G35" i="40"/>
  <c r="F35" i="40"/>
  <c r="G33" i="40"/>
  <c r="F33" i="40"/>
  <c r="G31" i="40"/>
  <c r="F31" i="40"/>
  <c r="G29" i="40"/>
  <c r="F29" i="40"/>
  <c r="G27" i="40"/>
  <c r="F27" i="40"/>
  <c r="G25" i="40"/>
  <c r="F25" i="40"/>
  <c r="G23" i="40"/>
  <c r="F23" i="40"/>
  <c r="G21" i="40"/>
  <c r="F21" i="40"/>
  <c r="G19" i="40"/>
  <c r="F19" i="40"/>
  <c r="G17" i="40"/>
  <c r="F17" i="40"/>
  <c r="G15" i="40"/>
  <c r="F15" i="40"/>
  <c r="G13" i="40"/>
  <c r="F13" i="40"/>
  <c r="G11" i="40"/>
  <c r="F11" i="40"/>
  <c r="G9" i="40"/>
  <c r="F9" i="40"/>
  <c r="G7" i="40"/>
  <c r="F7" i="40"/>
  <c r="G5" i="40"/>
  <c r="F5" i="40"/>
  <c r="F94" i="40"/>
  <c r="G94" i="40"/>
  <c r="G96" i="43"/>
  <c r="F96" i="43"/>
  <c r="G94" i="43"/>
  <c r="F94" i="43"/>
  <c r="G92" i="43"/>
  <c r="F92" i="43"/>
  <c r="G90" i="43"/>
  <c r="F90" i="43"/>
  <c r="G88" i="43"/>
  <c r="F88" i="43"/>
  <c r="G86" i="43"/>
  <c r="F86" i="43"/>
  <c r="G84" i="43"/>
  <c r="F84" i="43"/>
  <c r="G82" i="43"/>
  <c r="F82" i="43"/>
  <c r="G80" i="43"/>
  <c r="F80" i="43"/>
  <c r="G78" i="43"/>
  <c r="F78" i="43"/>
  <c r="G70" i="43"/>
  <c r="F70" i="43"/>
  <c r="G68" i="43"/>
  <c r="F68" i="43"/>
  <c r="G66" i="43"/>
  <c r="F66" i="43"/>
  <c r="G64" i="43"/>
  <c r="F64" i="43"/>
  <c r="G62" i="43"/>
  <c r="F62" i="43"/>
  <c r="G60" i="43"/>
  <c r="F60" i="43"/>
  <c r="G58" i="43"/>
  <c r="F58" i="43"/>
  <c r="G56" i="43"/>
  <c r="F56" i="43"/>
  <c r="G54" i="43"/>
  <c r="F54" i="43"/>
  <c r="G52" i="43"/>
  <c r="F52" i="43"/>
  <c r="G50" i="43"/>
  <c r="F50" i="43"/>
  <c r="G48" i="43"/>
  <c r="F48" i="43"/>
  <c r="G46" i="43"/>
  <c r="F46" i="43"/>
  <c r="G44" i="43"/>
  <c r="F44" i="43"/>
  <c r="G42" i="43"/>
  <c r="F42" i="43"/>
  <c r="G40" i="43"/>
  <c r="F40" i="43"/>
  <c r="G38" i="43"/>
  <c r="F38" i="43"/>
  <c r="G36" i="43"/>
  <c r="F36" i="43"/>
  <c r="G34" i="43"/>
  <c r="F34" i="43"/>
  <c r="G32" i="43"/>
  <c r="F32" i="43"/>
  <c r="G30" i="43"/>
  <c r="F30" i="43"/>
  <c r="G28" i="43"/>
  <c r="F28" i="43"/>
  <c r="G26" i="43"/>
  <c r="F26" i="43"/>
  <c r="G24" i="43"/>
  <c r="F24" i="43"/>
  <c r="G22" i="43"/>
  <c r="F22" i="43"/>
  <c r="G20" i="43"/>
  <c r="F20" i="43"/>
  <c r="G18" i="43"/>
  <c r="F18" i="43"/>
  <c r="G16" i="43"/>
  <c r="F16" i="43"/>
  <c r="G14" i="43"/>
  <c r="F14" i="43"/>
  <c r="G12" i="43"/>
  <c r="F12" i="43"/>
  <c r="G10" i="43"/>
  <c r="F10" i="43"/>
  <c r="G8" i="43"/>
  <c r="F8" i="43"/>
  <c r="G6" i="43"/>
  <c r="F6" i="43"/>
  <c r="G4" i="43"/>
  <c r="F4" i="43"/>
  <c r="G72" i="44"/>
  <c r="F72" i="44"/>
  <c r="G70" i="44"/>
  <c r="F70" i="44"/>
  <c r="G68" i="44"/>
  <c r="F68" i="44"/>
  <c r="G66" i="44"/>
  <c r="F66" i="44"/>
  <c r="G64" i="44"/>
  <c r="F64" i="44"/>
  <c r="G62" i="44"/>
  <c r="F62" i="44"/>
  <c r="G60" i="44"/>
  <c r="F60" i="44"/>
  <c r="G58" i="44"/>
  <c r="F58" i="44"/>
  <c r="G56" i="44"/>
  <c r="F56" i="44"/>
  <c r="G54" i="44"/>
  <c r="F54" i="44"/>
  <c r="G52" i="44"/>
  <c r="F52" i="44"/>
  <c r="G50" i="44"/>
  <c r="F50" i="44"/>
  <c r="G48" i="44"/>
  <c r="F48" i="44"/>
  <c r="G46" i="44"/>
  <c r="F46" i="44"/>
  <c r="G44" i="44"/>
  <c r="F44" i="44"/>
  <c r="G34" i="44"/>
  <c r="F34" i="44"/>
  <c r="G32" i="44"/>
  <c r="F32" i="44"/>
  <c r="G30" i="44"/>
  <c r="F30" i="44"/>
  <c r="G28" i="44"/>
  <c r="F28" i="44"/>
  <c r="G26" i="44"/>
  <c r="F26" i="44"/>
  <c r="G24" i="44"/>
  <c r="F24" i="44"/>
  <c r="G22" i="44"/>
  <c r="F22" i="44"/>
  <c r="G20" i="44"/>
  <c r="F20" i="44"/>
  <c r="G18" i="44"/>
  <c r="F18" i="44"/>
  <c r="G16" i="44"/>
  <c r="F16" i="44"/>
  <c r="G14" i="44"/>
  <c r="F14" i="44"/>
  <c r="G12" i="44"/>
  <c r="F12" i="44"/>
  <c r="G10" i="44"/>
  <c r="F10" i="44"/>
  <c r="G8" i="44"/>
  <c r="F8" i="44"/>
  <c r="G6" i="44"/>
  <c r="F6" i="44"/>
  <c r="G4" i="44"/>
  <c r="F4" i="44"/>
  <c r="F98" i="5"/>
  <c r="G98" i="5"/>
  <c r="F93" i="12"/>
  <c r="F91" i="12"/>
  <c r="F89" i="12"/>
  <c r="F87" i="12"/>
  <c r="F85" i="12"/>
  <c r="F83" i="12"/>
  <c r="F81" i="12"/>
  <c r="F79" i="12"/>
  <c r="F77" i="12"/>
  <c r="G93" i="12"/>
  <c r="G91" i="12"/>
  <c r="G89" i="12"/>
  <c r="G87" i="12"/>
  <c r="G85" i="12"/>
  <c r="G83" i="12"/>
  <c r="G81" i="12"/>
  <c r="G79" i="12"/>
  <c r="G77" i="12"/>
  <c r="F6" i="37"/>
  <c r="G6" i="37"/>
  <c r="F84" i="40"/>
  <c r="G84" i="40"/>
  <c r="F82" i="40"/>
  <c r="G82" i="40"/>
  <c r="F80" i="40"/>
  <c r="G80" i="40"/>
  <c r="F78" i="40"/>
  <c r="G78" i="40"/>
  <c r="F76" i="40"/>
  <c r="G76" i="40"/>
  <c r="F74" i="40"/>
  <c r="G74" i="40"/>
  <c r="F72" i="40"/>
  <c r="G72" i="40"/>
  <c r="F70" i="40"/>
  <c r="G70" i="40"/>
  <c r="F68" i="40"/>
  <c r="G68" i="40"/>
  <c r="F66" i="40"/>
  <c r="G66" i="40"/>
  <c r="F64" i="40"/>
  <c r="G64" i="40"/>
  <c r="F62" i="40"/>
  <c r="G62" i="40"/>
  <c r="F60" i="40"/>
  <c r="G60" i="40"/>
  <c r="F58" i="40"/>
  <c r="G58" i="40"/>
  <c r="F56" i="40"/>
  <c r="G56" i="40"/>
  <c r="F50" i="40"/>
  <c r="G50" i="40"/>
  <c r="F46" i="40"/>
  <c r="G46" i="40"/>
  <c r="F44" i="40"/>
  <c r="G44" i="40"/>
  <c r="F42" i="40"/>
  <c r="G42" i="40"/>
  <c r="F40" i="40"/>
  <c r="G40" i="40"/>
  <c r="F38" i="40"/>
  <c r="G38" i="40"/>
  <c r="F36" i="40"/>
  <c r="G36" i="40"/>
  <c r="F34" i="40"/>
  <c r="G34" i="40"/>
  <c r="F32" i="40"/>
  <c r="G32" i="40"/>
  <c r="F30" i="40"/>
  <c r="G30" i="40"/>
  <c r="F28" i="40"/>
  <c r="G28" i="40"/>
  <c r="F26" i="40"/>
  <c r="G26" i="40"/>
  <c r="F24" i="40"/>
  <c r="G24" i="40"/>
  <c r="F22" i="40"/>
  <c r="G22" i="40"/>
  <c r="F20" i="40"/>
  <c r="G20" i="40"/>
  <c r="F18" i="40"/>
  <c r="G18" i="40"/>
  <c r="F16" i="40"/>
  <c r="G16" i="40"/>
  <c r="F14" i="40"/>
  <c r="G14" i="40"/>
  <c r="F12" i="40"/>
  <c r="G12" i="40"/>
  <c r="F10" i="40"/>
  <c r="G10" i="40"/>
  <c r="F8" i="40"/>
  <c r="G8" i="40"/>
  <c r="F6" i="40"/>
  <c r="G6" i="40"/>
  <c r="F4" i="40"/>
  <c r="G4" i="40"/>
  <c r="F90" i="40"/>
  <c r="G90" i="40"/>
  <c r="F3" i="42"/>
  <c r="G3" i="42"/>
  <c r="G97" i="42"/>
  <c r="F97" i="42"/>
  <c r="G95" i="42"/>
  <c r="F95" i="42"/>
  <c r="G93" i="42"/>
  <c r="F93" i="42"/>
  <c r="G91" i="42"/>
  <c r="F91" i="42"/>
  <c r="G89" i="42"/>
  <c r="F89" i="42"/>
  <c r="G87" i="42"/>
  <c r="F87" i="42"/>
  <c r="G85" i="42"/>
  <c r="F85" i="42"/>
  <c r="G83" i="42"/>
  <c r="F83" i="42"/>
  <c r="G81" i="42"/>
  <c r="F81" i="42"/>
  <c r="G79" i="42"/>
  <c r="F79" i="42"/>
  <c r="G77" i="42"/>
  <c r="F77" i="42"/>
  <c r="G69" i="42"/>
  <c r="F69" i="42"/>
  <c r="G67" i="42"/>
  <c r="F67" i="42"/>
  <c r="G65" i="42"/>
  <c r="F65" i="42"/>
  <c r="G63" i="42"/>
  <c r="F63" i="42"/>
  <c r="G61" i="42"/>
  <c r="F61" i="42"/>
  <c r="G59" i="42"/>
  <c r="F59" i="42"/>
  <c r="G57" i="42"/>
  <c r="F57" i="42"/>
  <c r="G55" i="42"/>
  <c r="F55" i="42"/>
  <c r="G53" i="42"/>
  <c r="F53" i="42"/>
  <c r="G51" i="42"/>
  <c r="F51" i="42"/>
  <c r="G49" i="42"/>
  <c r="F49" i="42"/>
  <c r="G47" i="42"/>
  <c r="F47" i="42"/>
  <c r="G45" i="42"/>
  <c r="F45" i="42"/>
  <c r="G43" i="42"/>
  <c r="F43" i="42"/>
  <c r="G41" i="42"/>
  <c r="F41" i="42"/>
  <c r="G39" i="42"/>
  <c r="F39" i="42"/>
  <c r="G37" i="42"/>
  <c r="F37" i="42"/>
  <c r="G35" i="42"/>
  <c r="F35" i="42"/>
  <c r="G33" i="42"/>
  <c r="F33" i="42"/>
  <c r="G31" i="42"/>
  <c r="F31" i="42"/>
  <c r="G29" i="42"/>
  <c r="F29" i="42"/>
  <c r="G27" i="42"/>
  <c r="F27" i="42"/>
  <c r="G25" i="42"/>
  <c r="F25" i="42"/>
  <c r="G23" i="42"/>
  <c r="F23" i="42"/>
  <c r="G21" i="42"/>
  <c r="F21" i="42"/>
  <c r="G19" i="42"/>
  <c r="F19" i="42"/>
  <c r="G17" i="42"/>
  <c r="F17" i="42"/>
  <c r="G15" i="42"/>
  <c r="F15" i="42"/>
  <c r="G13" i="42"/>
  <c r="F13" i="42"/>
  <c r="G11" i="42"/>
  <c r="F11" i="42"/>
  <c r="G9" i="42"/>
  <c r="F9" i="42"/>
  <c r="G7" i="42"/>
  <c r="F7" i="42"/>
  <c r="G5" i="42"/>
  <c r="F5" i="42"/>
  <c r="G3" i="43"/>
  <c r="F3" i="43"/>
  <c r="G3" i="44"/>
  <c r="F3" i="44"/>
  <c r="G71" i="44"/>
  <c r="F71" i="44"/>
  <c r="G69" i="44"/>
  <c r="F69" i="44"/>
  <c r="G67" i="44"/>
  <c r="F67" i="44"/>
  <c r="G65" i="44"/>
  <c r="F65" i="44"/>
  <c r="G63" i="44"/>
  <c r="F63" i="44"/>
  <c r="G61" i="44"/>
  <c r="F61" i="44"/>
  <c r="G59" i="44"/>
  <c r="F59" i="44"/>
  <c r="G57" i="44"/>
  <c r="F57" i="44"/>
  <c r="G55" i="44"/>
  <c r="F55" i="44"/>
  <c r="G53" i="44"/>
  <c r="F53" i="44"/>
  <c r="G51" i="44"/>
  <c r="F51" i="44"/>
  <c r="G49" i="44"/>
  <c r="F49" i="44"/>
  <c r="G47" i="44"/>
  <c r="F47" i="44"/>
  <c r="G45" i="44"/>
  <c r="F45" i="44"/>
  <c r="G35" i="44"/>
  <c r="F35" i="44"/>
  <c r="G33" i="44"/>
  <c r="F33" i="44"/>
  <c r="G31" i="44"/>
  <c r="F31" i="44"/>
  <c r="G29" i="44"/>
  <c r="F29" i="44"/>
  <c r="G27" i="44"/>
  <c r="F27" i="44"/>
  <c r="G25" i="44"/>
  <c r="F25" i="44"/>
  <c r="G23" i="44"/>
  <c r="F23" i="44"/>
  <c r="G21" i="44"/>
  <c r="F21" i="44"/>
  <c r="G19" i="44"/>
  <c r="F19" i="44"/>
  <c r="G17" i="44"/>
  <c r="F17" i="44"/>
  <c r="G15" i="44"/>
  <c r="F15" i="44"/>
  <c r="G13" i="44"/>
  <c r="F13" i="44"/>
  <c r="G11" i="44"/>
  <c r="F11" i="44"/>
  <c r="G9" i="44"/>
  <c r="F9" i="44"/>
  <c r="G7" i="44"/>
  <c r="F7" i="44"/>
  <c r="G5" i="44"/>
  <c r="F5" i="44"/>
  <c r="G93" i="40"/>
  <c r="G92" i="40"/>
  <c r="G89" i="40"/>
  <c r="G88" i="40"/>
  <c r="G86" i="40"/>
  <c r="G96" i="42"/>
  <c r="G94" i="42"/>
  <c r="G92" i="42"/>
  <c r="G90" i="42"/>
  <c r="G88" i="42"/>
  <c r="G86" i="42"/>
  <c r="G84" i="42"/>
  <c r="G82" i="42"/>
  <c r="G80" i="42"/>
  <c r="G78" i="42"/>
  <c r="G70" i="42"/>
  <c r="G68" i="42"/>
  <c r="G66" i="42"/>
  <c r="G64" i="42"/>
  <c r="G62" i="42"/>
  <c r="G60" i="42"/>
  <c r="G58" i="42"/>
  <c r="G56" i="42"/>
  <c r="G54" i="42"/>
  <c r="G52" i="42"/>
  <c r="G50" i="42"/>
  <c r="G48" i="42"/>
  <c r="G46" i="42"/>
  <c r="G44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G8" i="42"/>
  <c r="G6" i="42"/>
  <c r="G4" i="42"/>
  <c r="G97" i="43"/>
  <c r="G95" i="43"/>
  <c r="G93" i="43"/>
  <c r="G91" i="43"/>
  <c r="G89" i="43"/>
  <c r="G87" i="43"/>
  <c r="G85" i="43"/>
  <c r="G83" i="43"/>
  <c r="G81" i="43"/>
  <c r="G79" i="43"/>
  <c r="G77" i="43"/>
  <c r="G69" i="43"/>
  <c r="G67" i="43"/>
  <c r="G65" i="43"/>
  <c r="G63" i="43"/>
  <c r="G61" i="43"/>
  <c r="G59" i="43"/>
  <c r="G57" i="43"/>
  <c r="G55" i="43"/>
  <c r="G53" i="43"/>
  <c r="G51" i="43"/>
  <c r="G49" i="43"/>
  <c r="G47" i="43"/>
  <c r="G45" i="43"/>
  <c r="G43" i="43"/>
  <c r="G41" i="43"/>
  <c r="G39" i="43"/>
  <c r="G37" i="43"/>
  <c r="G35" i="43"/>
  <c r="G33" i="43"/>
  <c r="G31" i="43"/>
  <c r="G29" i="43"/>
  <c r="G27" i="43"/>
  <c r="G25" i="43"/>
  <c r="G23" i="43"/>
  <c r="G21" i="43"/>
  <c r="G19" i="43"/>
  <c r="G17" i="43"/>
  <c r="G15" i="43"/>
  <c r="G13" i="43"/>
  <c r="G11" i="43"/>
  <c r="G9" i="43"/>
  <c r="G7" i="43"/>
  <c r="G5" i="43"/>
  <c r="F86" i="41"/>
  <c r="G86" i="41"/>
  <c r="F84" i="41"/>
  <c r="G84" i="41"/>
  <c r="F82" i="41"/>
  <c r="G82" i="41"/>
  <c r="F80" i="41"/>
  <c r="G80" i="41"/>
  <c r="F78" i="41"/>
  <c r="G78" i="41"/>
  <c r="F76" i="41"/>
  <c r="G76" i="41"/>
  <c r="F74" i="41"/>
  <c r="G74" i="41"/>
  <c r="F72" i="41"/>
  <c r="G72" i="41"/>
  <c r="F70" i="41"/>
  <c r="G70" i="41"/>
  <c r="F68" i="41"/>
  <c r="G68" i="41"/>
  <c r="F66" i="41"/>
  <c r="G66" i="41"/>
  <c r="F87" i="41"/>
  <c r="F83" i="41"/>
  <c r="F79" i="41"/>
  <c r="G77" i="41"/>
  <c r="F77" i="41"/>
  <c r="G75" i="41"/>
  <c r="F75" i="41"/>
  <c r="G73" i="41"/>
  <c r="F73" i="41"/>
  <c r="G71" i="41"/>
  <c r="F71" i="41"/>
  <c r="G69" i="41"/>
  <c r="F69" i="41"/>
  <c r="G67" i="41"/>
  <c r="F67" i="41"/>
  <c r="G65" i="41"/>
  <c r="F65" i="41"/>
  <c r="F88" i="41"/>
  <c r="G88" i="41"/>
  <c r="F64" i="41"/>
  <c r="F85" i="41"/>
  <c r="F81" i="41"/>
  <c r="G114" i="4"/>
  <c r="G112" i="4"/>
  <c r="G110" i="4"/>
  <c r="G108" i="4"/>
  <c r="F106" i="4"/>
  <c r="G98" i="17"/>
  <c r="F34" i="17"/>
  <c r="F18" i="17"/>
  <c r="F50" i="17"/>
  <c r="F14" i="17"/>
  <c r="F46" i="17"/>
  <c r="F30" i="17"/>
  <c r="G89" i="17"/>
  <c r="G81" i="17"/>
  <c r="G73" i="17"/>
  <c r="F52" i="6"/>
  <c r="G52" i="6"/>
  <c r="F80" i="6"/>
  <c r="G80" i="6"/>
  <c r="F63" i="6"/>
  <c r="G63" i="6"/>
  <c r="F67" i="6"/>
  <c r="G67" i="6"/>
  <c r="F75" i="6"/>
  <c r="G75" i="6"/>
  <c r="F83" i="6"/>
  <c r="G83" i="6"/>
  <c r="F91" i="6"/>
  <c r="G91" i="6"/>
  <c r="F95" i="6"/>
  <c r="G95" i="6"/>
  <c r="F60" i="6"/>
  <c r="G60" i="6"/>
  <c r="F72" i="6"/>
  <c r="G72" i="6"/>
  <c r="F22" i="6"/>
  <c r="G22" i="6"/>
  <c r="F66" i="6"/>
  <c r="G66" i="6"/>
  <c r="F90" i="6"/>
  <c r="G90" i="6"/>
  <c r="F94" i="6"/>
  <c r="G94" i="6"/>
  <c r="G3" i="6"/>
  <c r="G86" i="6"/>
  <c r="G82" i="6"/>
  <c r="G78" i="6"/>
  <c r="G74" i="6"/>
  <c r="G70" i="6"/>
  <c r="G62" i="6"/>
  <c r="G58" i="6"/>
  <c r="G54" i="6"/>
  <c r="G50" i="6"/>
  <c r="G46" i="6"/>
  <c r="G42" i="6"/>
  <c r="G38" i="6"/>
  <c r="G34" i="6"/>
  <c r="G30" i="6"/>
  <c r="G26" i="6"/>
  <c r="G18" i="6"/>
  <c r="G14" i="6"/>
  <c r="G10" i="6"/>
  <c r="G6" i="6"/>
  <c r="G87" i="6"/>
  <c r="G79" i="6"/>
  <c r="G71" i="6"/>
  <c r="G59" i="6"/>
  <c r="G55" i="6"/>
  <c r="G51" i="6"/>
  <c r="G47" i="6"/>
  <c r="G43" i="6"/>
  <c r="G39" i="6"/>
  <c r="G35" i="6"/>
  <c r="G31" i="6"/>
  <c r="G27" i="6"/>
  <c r="G23" i="6"/>
  <c r="G19" i="6"/>
  <c r="G15" i="6"/>
  <c r="G11" i="6"/>
  <c r="G7" i="6"/>
  <c r="G96" i="6"/>
  <c r="G92" i="6"/>
  <c r="G88" i="6"/>
  <c r="G84" i="6"/>
  <c r="G76" i="6"/>
  <c r="G68" i="6"/>
  <c r="G64" i="6"/>
  <c r="G56" i="6"/>
  <c r="G48" i="6"/>
  <c r="G44" i="6"/>
  <c r="G40" i="6"/>
  <c r="G36" i="6"/>
  <c r="G32" i="6"/>
  <c r="G28" i="6"/>
  <c r="G24" i="6"/>
  <c r="G20" i="6"/>
  <c r="G16" i="6"/>
  <c r="G12" i="6"/>
  <c r="G8" i="6"/>
  <c r="G4" i="6"/>
  <c r="G97" i="6"/>
  <c r="G93" i="6"/>
  <c r="G89" i="6"/>
  <c r="G85" i="6"/>
  <c r="G81" i="6"/>
  <c r="G77" i="6"/>
  <c r="G73" i="6"/>
  <c r="G69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5" i="6"/>
  <c r="G91" i="10"/>
  <c r="F91" i="10"/>
  <c r="G79" i="10"/>
  <c r="F79" i="10"/>
  <c r="G57" i="10"/>
  <c r="F57" i="10"/>
  <c r="G3" i="10"/>
  <c r="F3" i="10"/>
  <c r="G45" i="10"/>
  <c r="F45" i="10"/>
  <c r="G41" i="10"/>
  <c r="F41" i="10"/>
  <c r="G37" i="10"/>
  <c r="F37" i="10"/>
  <c r="G33" i="10"/>
  <c r="F33" i="10"/>
  <c r="G29" i="10"/>
  <c r="F29" i="10"/>
  <c r="G25" i="10"/>
  <c r="F25" i="10"/>
  <c r="G21" i="10"/>
  <c r="F21" i="10"/>
  <c r="G17" i="10"/>
  <c r="F17" i="10"/>
  <c r="G13" i="10"/>
  <c r="F13" i="10"/>
  <c r="G9" i="10"/>
  <c r="F9" i="10"/>
  <c r="G5" i="10"/>
  <c r="F5" i="10"/>
  <c r="G92" i="10"/>
  <c r="F92" i="10"/>
  <c r="G88" i="10"/>
  <c r="F88" i="10"/>
  <c r="G84" i="10"/>
  <c r="F84" i="10"/>
  <c r="G80" i="10"/>
  <c r="F80" i="10"/>
  <c r="G76" i="10"/>
  <c r="F76" i="10"/>
  <c r="G68" i="10"/>
  <c r="F68" i="10"/>
  <c r="G58" i="10"/>
  <c r="F58" i="10"/>
  <c r="G54" i="10"/>
  <c r="F54" i="10"/>
  <c r="G50" i="10"/>
  <c r="F50" i="10"/>
  <c r="G87" i="10"/>
  <c r="F87" i="10"/>
  <c r="G75" i="10"/>
  <c r="F75" i="10"/>
  <c r="G53" i="10"/>
  <c r="F53" i="10"/>
  <c r="G46" i="10"/>
  <c r="F46" i="10"/>
  <c r="G42" i="10"/>
  <c r="F42" i="10"/>
  <c r="G38" i="10"/>
  <c r="F38" i="10"/>
  <c r="G34" i="10"/>
  <c r="F34" i="10"/>
  <c r="G30" i="10"/>
  <c r="F30" i="10"/>
  <c r="G26" i="10"/>
  <c r="F26" i="10"/>
  <c r="G22" i="10"/>
  <c r="F22" i="10"/>
  <c r="G18" i="10"/>
  <c r="F18" i="10"/>
  <c r="G14" i="10"/>
  <c r="F14" i="10"/>
  <c r="G10" i="10"/>
  <c r="F10" i="10"/>
  <c r="G6" i="10"/>
  <c r="F6" i="10"/>
  <c r="G89" i="10"/>
  <c r="F89" i="10"/>
  <c r="G85" i="10"/>
  <c r="F85" i="10"/>
  <c r="G81" i="10"/>
  <c r="F81" i="10"/>
  <c r="G77" i="10"/>
  <c r="F77" i="10"/>
  <c r="G73" i="10"/>
  <c r="F73" i="10"/>
  <c r="G69" i="10"/>
  <c r="F69" i="10"/>
  <c r="G59" i="10"/>
  <c r="F59" i="10"/>
  <c r="G55" i="10"/>
  <c r="F55" i="10"/>
  <c r="G51" i="10"/>
  <c r="F51" i="10"/>
  <c r="G83" i="10"/>
  <c r="F83" i="10"/>
  <c r="G49" i="10"/>
  <c r="F49" i="10"/>
  <c r="G90" i="10"/>
  <c r="F90" i="10"/>
  <c r="G86" i="10"/>
  <c r="F86" i="10"/>
  <c r="G82" i="10"/>
  <c r="F82" i="10"/>
  <c r="G78" i="10"/>
  <c r="F78" i="10"/>
  <c r="G74" i="10"/>
  <c r="F74" i="10"/>
  <c r="F93" i="10"/>
  <c r="D65" i="10"/>
  <c r="C65" i="10" s="1"/>
  <c r="F65" i="10" s="1"/>
  <c r="D64" i="10"/>
  <c r="C64" i="10" s="1"/>
  <c r="F64" i="10" s="1"/>
  <c r="D63" i="10"/>
  <c r="C63" i="10" s="1"/>
  <c r="G63" i="10" s="1"/>
  <c r="D62" i="10"/>
  <c r="C62" i="10" s="1"/>
  <c r="G62" i="10" s="1"/>
  <c r="F47" i="10"/>
  <c r="F43" i="10"/>
  <c r="F39" i="10"/>
  <c r="F35" i="10"/>
  <c r="F31" i="10"/>
  <c r="F27" i="10"/>
  <c r="F23" i="10"/>
  <c r="F19" i="10"/>
  <c r="F15" i="10"/>
  <c r="F11" i="10"/>
  <c r="F7" i="10"/>
  <c r="F48" i="10"/>
  <c r="F44" i="10"/>
  <c r="F40" i="10"/>
  <c r="F36" i="10"/>
  <c r="F32" i="10"/>
  <c r="F28" i="10"/>
  <c r="F24" i="10"/>
  <c r="F20" i="10"/>
  <c r="F16" i="10"/>
  <c r="F12" i="10"/>
  <c r="F8" i="10"/>
  <c r="F4" i="10"/>
  <c r="F70" i="10"/>
  <c r="G93" i="10"/>
  <c r="F67" i="10"/>
  <c r="F56" i="10"/>
  <c r="F52" i="10"/>
  <c r="G91" i="9"/>
  <c r="F91" i="9"/>
  <c r="G87" i="9"/>
  <c r="F87" i="9"/>
  <c r="G83" i="9"/>
  <c r="F83" i="9"/>
  <c r="G79" i="9"/>
  <c r="F79" i="9"/>
  <c r="G75" i="9"/>
  <c r="F75" i="9"/>
  <c r="G58" i="9"/>
  <c r="F58" i="9"/>
  <c r="G54" i="9"/>
  <c r="F54" i="9"/>
  <c r="G50" i="9"/>
  <c r="F50" i="9"/>
  <c r="G64" i="9"/>
  <c r="F64" i="9"/>
  <c r="G92" i="9"/>
  <c r="F92" i="9"/>
  <c r="G88" i="9"/>
  <c r="F88" i="9"/>
  <c r="G84" i="9"/>
  <c r="F84" i="9"/>
  <c r="G80" i="9"/>
  <c r="F80" i="9"/>
  <c r="G76" i="9"/>
  <c r="F76" i="9"/>
  <c r="G59" i="9"/>
  <c r="F59" i="9"/>
  <c r="G55" i="9"/>
  <c r="F55" i="9"/>
  <c r="G51" i="9"/>
  <c r="F51" i="9"/>
  <c r="F65" i="9"/>
  <c r="G65" i="9"/>
  <c r="F61" i="9"/>
  <c r="G61" i="9"/>
  <c r="F48" i="9"/>
  <c r="G48" i="9"/>
  <c r="F44" i="9"/>
  <c r="G44" i="9"/>
  <c r="F40" i="9"/>
  <c r="G40" i="9"/>
  <c r="F36" i="9"/>
  <c r="G36" i="9"/>
  <c r="F32" i="9"/>
  <c r="G32" i="9"/>
  <c r="F28" i="9"/>
  <c r="G28" i="9"/>
  <c r="F24" i="9"/>
  <c r="G24" i="9"/>
  <c r="F20" i="9"/>
  <c r="G20" i="9"/>
  <c r="F16" i="9"/>
  <c r="G16" i="9"/>
  <c r="F12" i="9"/>
  <c r="G12" i="9"/>
  <c r="F8" i="9"/>
  <c r="G8" i="9"/>
  <c r="F4" i="9"/>
  <c r="G4" i="9"/>
  <c r="G93" i="9"/>
  <c r="F93" i="9"/>
  <c r="G89" i="9"/>
  <c r="F89" i="9"/>
  <c r="G85" i="9"/>
  <c r="F85" i="9"/>
  <c r="G81" i="9"/>
  <c r="F81" i="9"/>
  <c r="G77" i="9"/>
  <c r="F77" i="9"/>
  <c r="G73" i="9"/>
  <c r="F73" i="9"/>
  <c r="G69" i="9"/>
  <c r="F69" i="9"/>
  <c r="G56" i="9"/>
  <c r="F56" i="9"/>
  <c r="G52" i="9"/>
  <c r="F52" i="9"/>
  <c r="F3" i="9"/>
  <c r="G3" i="9"/>
  <c r="F45" i="9"/>
  <c r="G45" i="9"/>
  <c r="F41" i="9"/>
  <c r="G41" i="9"/>
  <c r="F37" i="9"/>
  <c r="G37" i="9"/>
  <c r="G33" i="9"/>
  <c r="F33" i="9"/>
  <c r="G29" i="9"/>
  <c r="F29" i="9"/>
  <c r="F25" i="9"/>
  <c r="G25" i="9"/>
  <c r="F21" i="9"/>
  <c r="G21" i="9"/>
  <c r="F17" i="9"/>
  <c r="G17" i="9"/>
  <c r="F13" i="9"/>
  <c r="G13" i="9"/>
  <c r="F9" i="9"/>
  <c r="G9" i="9"/>
  <c r="F5" i="9"/>
  <c r="G5" i="9"/>
  <c r="G90" i="9"/>
  <c r="F90" i="9"/>
  <c r="G86" i="9"/>
  <c r="F86" i="9"/>
  <c r="G82" i="9"/>
  <c r="F82" i="9"/>
  <c r="G78" i="9"/>
  <c r="F78" i="9"/>
  <c r="G74" i="9"/>
  <c r="F74" i="9"/>
  <c r="G70" i="9"/>
  <c r="F70" i="9"/>
  <c r="G57" i="9"/>
  <c r="F57" i="9"/>
  <c r="G53" i="9"/>
  <c r="F53" i="9"/>
  <c r="G49" i="9"/>
  <c r="F49" i="9"/>
  <c r="F63" i="9"/>
  <c r="G63" i="9"/>
  <c r="F46" i="9"/>
  <c r="F42" i="9"/>
  <c r="F38" i="9"/>
  <c r="F34" i="9"/>
  <c r="F30" i="9"/>
  <c r="F26" i="9"/>
  <c r="F22" i="9"/>
  <c r="F18" i="9"/>
  <c r="F14" i="9"/>
  <c r="F10" i="9"/>
  <c r="F6" i="9"/>
  <c r="F47" i="9"/>
  <c r="F43" i="9"/>
  <c r="F39" i="9"/>
  <c r="F35" i="9"/>
  <c r="F31" i="9"/>
  <c r="F27" i="9"/>
  <c r="F23" i="9"/>
  <c r="F19" i="9"/>
  <c r="F15" i="9"/>
  <c r="F11" i="9"/>
  <c r="F7" i="9"/>
  <c r="G62" i="9"/>
  <c r="F67" i="9"/>
  <c r="D66" i="10"/>
  <c r="C66" i="10" s="1"/>
  <c r="G66" i="10" s="1"/>
  <c r="F68" i="9"/>
  <c r="D5" i="8"/>
  <c r="C5" i="8" s="1"/>
  <c r="D11" i="8"/>
  <c r="C11" i="8" s="1"/>
  <c r="D19" i="8"/>
  <c r="C19" i="8" s="1"/>
  <c r="D29" i="8"/>
  <c r="C29" i="8" s="1"/>
  <c r="D34" i="8"/>
  <c r="C34" i="8" s="1"/>
  <c r="D46" i="8"/>
  <c r="C46" i="8" s="1"/>
  <c r="R54" i="45" s="1"/>
  <c r="D47" i="8"/>
  <c r="C47" i="8" s="1"/>
  <c r="D48" i="8"/>
  <c r="C48" i="8" s="1"/>
  <c r="G48" i="8" s="1"/>
  <c r="D4" i="8"/>
  <c r="C4" i="8" s="1"/>
  <c r="D7" i="8"/>
  <c r="C7" i="8" s="1"/>
  <c r="R15" i="45" s="1"/>
  <c r="D8" i="8"/>
  <c r="C8" i="8" s="1"/>
  <c r="D13" i="8"/>
  <c r="C13" i="8" s="1"/>
  <c r="G13" i="8" s="1"/>
  <c r="D20" i="8"/>
  <c r="C20" i="8" s="1"/>
  <c r="D28" i="8"/>
  <c r="C28" i="8" s="1"/>
  <c r="R36" i="45" s="1"/>
  <c r="D37" i="8"/>
  <c r="C37" i="8" s="1"/>
  <c r="D14" i="8"/>
  <c r="C14" i="8" s="1"/>
  <c r="G14" i="8" s="1"/>
  <c r="D24" i="8"/>
  <c r="C24" i="8" s="1"/>
  <c r="D31" i="8"/>
  <c r="C31" i="8" s="1"/>
  <c r="D38" i="8"/>
  <c r="C38" i="8" s="1"/>
  <c r="R46" i="45" s="1"/>
  <c r="D41" i="8"/>
  <c r="C41" i="8" s="1"/>
  <c r="G41" i="8" s="1"/>
  <c r="D49" i="8"/>
  <c r="C49" i="8" s="1"/>
  <c r="F104" i="43"/>
  <c r="G104" i="43"/>
  <c r="G100" i="43"/>
  <c r="F100" i="43"/>
  <c r="G101" i="43"/>
  <c r="F101" i="43"/>
  <c r="G102" i="43"/>
  <c r="F102" i="43"/>
  <c r="G98" i="43"/>
  <c r="F98" i="43"/>
  <c r="G103" i="43"/>
  <c r="F103" i="43"/>
  <c r="G99" i="43"/>
  <c r="F99" i="43"/>
  <c r="F104" i="42"/>
  <c r="G104" i="42"/>
  <c r="F103" i="42"/>
  <c r="G103" i="42"/>
  <c r="G102" i="42"/>
  <c r="F102" i="42"/>
  <c r="F101" i="42"/>
  <c r="G101" i="42"/>
  <c r="F100" i="42"/>
  <c r="G100" i="42"/>
  <c r="F99" i="42"/>
  <c r="G99" i="42"/>
  <c r="G98" i="42"/>
  <c r="F98" i="42"/>
  <c r="G91" i="39"/>
  <c r="F91" i="39"/>
  <c r="G87" i="39"/>
  <c r="F87" i="39"/>
  <c r="G83" i="39"/>
  <c r="F83" i="39"/>
  <c r="G79" i="39"/>
  <c r="F79" i="39"/>
  <c r="G75" i="39"/>
  <c r="F75" i="39"/>
  <c r="G71" i="39"/>
  <c r="F71" i="39"/>
  <c r="G67" i="39"/>
  <c r="F67" i="39"/>
  <c r="G56" i="39"/>
  <c r="F56" i="39"/>
  <c r="G52" i="39"/>
  <c r="F52" i="39"/>
  <c r="G48" i="39"/>
  <c r="F48" i="39"/>
  <c r="G44" i="39"/>
  <c r="F44" i="39"/>
  <c r="G40" i="39"/>
  <c r="F40" i="39"/>
  <c r="G36" i="39"/>
  <c r="F36" i="39"/>
  <c r="G32" i="39"/>
  <c r="F32" i="39"/>
  <c r="G28" i="39"/>
  <c r="F28" i="39"/>
  <c r="G24" i="39"/>
  <c r="F24" i="39"/>
  <c r="G19" i="39"/>
  <c r="F19" i="39"/>
  <c r="G15" i="39"/>
  <c r="F15" i="39"/>
  <c r="G11" i="39"/>
  <c r="F11" i="39"/>
  <c r="G7" i="39"/>
  <c r="F7" i="39"/>
  <c r="G3" i="39"/>
  <c r="F3" i="39"/>
  <c r="G88" i="39"/>
  <c r="F88" i="39"/>
  <c r="G84" i="39"/>
  <c r="F84" i="39"/>
  <c r="G80" i="39"/>
  <c r="F80" i="39"/>
  <c r="G76" i="39"/>
  <c r="F76" i="39"/>
  <c r="G72" i="39"/>
  <c r="F72" i="39"/>
  <c r="G68" i="39"/>
  <c r="F68" i="39"/>
  <c r="G57" i="39"/>
  <c r="F57" i="39"/>
  <c r="G53" i="39"/>
  <c r="F53" i="39"/>
  <c r="G49" i="39"/>
  <c r="F49" i="39"/>
  <c r="G45" i="39"/>
  <c r="F45" i="39"/>
  <c r="G41" i="39"/>
  <c r="F41" i="39"/>
  <c r="G37" i="39"/>
  <c r="F37" i="39"/>
  <c r="G33" i="39"/>
  <c r="F33" i="39"/>
  <c r="G29" i="39"/>
  <c r="F29" i="39"/>
  <c r="G25" i="39"/>
  <c r="F25" i="39"/>
  <c r="G20" i="39"/>
  <c r="F20" i="39"/>
  <c r="G16" i="39"/>
  <c r="F16" i="39"/>
  <c r="G12" i="39"/>
  <c r="F12" i="39"/>
  <c r="G8" i="39"/>
  <c r="F8" i="39"/>
  <c r="G4" i="39"/>
  <c r="F4" i="39"/>
  <c r="G89" i="39"/>
  <c r="F89" i="39"/>
  <c r="G85" i="39"/>
  <c r="F85" i="39"/>
  <c r="G81" i="39"/>
  <c r="F81" i="39"/>
  <c r="G77" i="39"/>
  <c r="F77" i="39"/>
  <c r="G73" i="39"/>
  <c r="F73" i="39"/>
  <c r="G69" i="39"/>
  <c r="F69" i="39"/>
  <c r="G65" i="39"/>
  <c r="F65" i="39"/>
  <c r="G54" i="39"/>
  <c r="F54" i="39"/>
  <c r="G50" i="39"/>
  <c r="F50" i="39"/>
  <c r="G46" i="39"/>
  <c r="F46" i="39"/>
  <c r="G42" i="39"/>
  <c r="F42" i="39"/>
  <c r="G38" i="39"/>
  <c r="F38" i="39"/>
  <c r="G34" i="39"/>
  <c r="F34" i="39"/>
  <c r="G30" i="39"/>
  <c r="F30" i="39"/>
  <c r="G26" i="39"/>
  <c r="F26" i="39"/>
  <c r="G21" i="39"/>
  <c r="F21" i="39"/>
  <c r="G17" i="39"/>
  <c r="F17" i="39"/>
  <c r="G13" i="39"/>
  <c r="F13" i="39"/>
  <c r="G9" i="39"/>
  <c r="F9" i="39"/>
  <c r="G5" i="39"/>
  <c r="F5" i="39"/>
  <c r="G90" i="39"/>
  <c r="F90" i="39"/>
  <c r="G86" i="39"/>
  <c r="F86" i="39"/>
  <c r="G82" i="39"/>
  <c r="F82" i="39"/>
  <c r="G78" i="39"/>
  <c r="F78" i="39"/>
  <c r="G74" i="39"/>
  <c r="F74" i="39"/>
  <c r="G70" i="39"/>
  <c r="F70" i="39"/>
  <c r="G66" i="39"/>
  <c r="F66" i="39"/>
  <c r="G55" i="39"/>
  <c r="F55" i="39"/>
  <c r="G51" i="39"/>
  <c r="F51" i="39"/>
  <c r="G47" i="39"/>
  <c r="F47" i="39"/>
  <c r="G43" i="39"/>
  <c r="F43" i="39"/>
  <c r="G39" i="39"/>
  <c r="F39" i="39"/>
  <c r="G35" i="39"/>
  <c r="F35" i="39"/>
  <c r="G31" i="39"/>
  <c r="F31" i="39"/>
  <c r="G27" i="39"/>
  <c r="F27" i="39"/>
  <c r="G23" i="39"/>
  <c r="F23" i="39"/>
  <c r="G18" i="39"/>
  <c r="F18" i="39"/>
  <c r="G14" i="39"/>
  <c r="F14" i="39"/>
  <c r="G10" i="39"/>
  <c r="F10" i="39"/>
  <c r="G6" i="39"/>
  <c r="F6" i="39"/>
  <c r="G90" i="38"/>
  <c r="F90" i="38"/>
  <c r="G86" i="38"/>
  <c r="F86" i="38"/>
  <c r="G82" i="38"/>
  <c r="F82" i="38"/>
  <c r="G78" i="38"/>
  <c r="F78" i="38"/>
  <c r="G74" i="38"/>
  <c r="F74" i="38"/>
  <c r="G70" i="38"/>
  <c r="F70" i="38"/>
  <c r="G66" i="38"/>
  <c r="F66" i="38"/>
  <c r="G55" i="38"/>
  <c r="F55" i="38"/>
  <c r="G51" i="38"/>
  <c r="F51" i="38"/>
  <c r="G47" i="38"/>
  <c r="F47" i="38"/>
  <c r="G43" i="38"/>
  <c r="F43" i="38"/>
  <c r="G39" i="38"/>
  <c r="F39" i="38"/>
  <c r="G35" i="38"/>
  <c r="F35" i="38"/>
  <c r="G31" i="38"/>
  <c r="F31" i="38"/>
  <c r="G27" i="38"/>
  <c r="F27" i="38"/>
  <c r="G23" i="38"/>
  <c r="F23" i="38"/>
  <c r="G19" i="38"/>
  <c r="F19" i="38"/>
  <c r="G15" i="38"/>
  <c r="F15" i="38"/>
  <c r="G11" i="38"/>
  <c r="F11" i="38"/>
  <c r="G7" i="38"/>
  <c r="F7" i="38"/>
  <c r="G3" i="38"/>
  <c r="F3" i="38"/>
  <c r="G91" i="38"/>
  <c r="F91" i="38"/>
  <c r="G87" i="38"/>
  <c r="F87" i="38"/>
  <c r="G83" i="38"/>
  <c r="F83" i="38"/>
  <c r="G79" i="38"/>
  <c r="F79" i="38"/>
  <c r="G75" i="38"/>
  <c r="F75" i="38"/>
  <c r="G71" i="38"/>
  <c r="F71" i="38"/>
  <c r="G67" i="38"/>
  <c r="F67" i="38"/>
  <c r="G56" i="38"/>
  <c r="F56" i="38"/>
  <c r="G52" i="38"/>
  <c r="F52" i="38"/>
  <c r="G48" i="38"/>
  <c r="F48" i="38"/>
  <c r="G44" i="38"/>
  <c r="F44" i="38"/>
  <c r="G40" i="38"/>
  <c r="F40" i="38"/>
  <c r="G36" i="38"/>
  <c r="F36" i="38"/>
  <c r="G32" i="38"/>
  <c r="F32" i="38"/>
  <c r="G28" i="38"/>
  <c r="F28" i="38"/>
  <c r="G24" i="38"/>
  <c r="F24" i="38"/>
  <c r="G20" i="38"/>
  <c r="F20" i="38"/>
  <c r="G16" i="38"/>
  <c r="F16" i="38"/>
  <c r="G12" i="38"/>
  <c r="F12" i="38"/>
  <c r="G8" i="38"/>
  <c r="F8" i="38"/>
  <c r="G4" i="38"/>
  <c r="F4" i="38"/>
  <c r="G88" i="38"/>
  <c r="F88" i="38"/>
  <c r="G84" i="38"/>
  <c r="F84" i="38"/>
  <c r="G80" i="38"/>
  <c r="F80" i="38"/>
  <c r="G76" i="38"/>
  <c r="F76" i="38"/>
  <c r="G72" i="38"/>
  <c r="F72" i="38"/>
  <c r="G68" i="38"/>
  <c r="F68" i="38"/>
  <c r="G57" i="38"/>
  <c r="F57" i="38"/>
  <c r="G53" i="38"/>
  <c r="F53" i="38"/>
  <c r="G49" i="38"/>
  <c r="F49" i="38"/>
  <c r="G45" i="38"/>
  <c r="F45" i="38"/>
  <c r="G41" i="38"/>
  <c r="F41" i="38"/>
  <c r="G37" i="38"/>
  <c r="F37" i="38"/>
  <c r="G33" i="38"/>
  <c r="F33" i="38"/>
  <c r="G29" i="38"/>
  <c r="F29" i="38"/>
  <c r="G25" i="38"/>
  <c r="F25" i="38"/>
  <c r="G21" i="38"/>
  <c r="F21" i="38"/>
  <c r="G17" i="38"/>
  <c r="F17" i="38"/>
  <c r="G13" i="38"/>
  <c r="F13" i="38"/>
  <c r="G9" i="38"/>
  <c r="F9" i="38"/>
  <c r="G5" i="38"/>
  <c r="F5" i="38"/>
  <c r="G89" i="38"/>
  <c r="F89" i="38"/>
  <c r="G85" i="38"/>
  <c r="F85" i="38"/>
  <c r="G81" i="38"/>
  <c r="F81" i="38"/>
  <c r="G77" i="38"/>
  <c r="F77" i="38"/>
  <c r="G73" i="38"/>
  <c r="F73" i="38"/>
  <c r="G69" i="38"/>
  <c r="F69" i="38"/>
  <c r="G65" i="38"/>
  <c r="F65" i="38"/>
  <c r="G54" i="38"/>
  <c r="F54" i="38"/>
  <c r="G50" i="38"/>
  <c r="F50" i="38"/>
  <c r="G46" i="38"/>
  <c r="F46" i="38"/>
  <c r="G42" i="38"/>
  <c r="F42" i="38"/>
  <c r="G38" i="38"/>
  <c r="F38" i="38"/>
  <c r="G34" i="38"/>
  <c r="F34" i="38"/>
  <c r="G30" i="38"/>
  <c r="F30" i="38"/>
  <c r="G26" i="38"/>
  <c r="F26" i="38"/>
  <c r="G18" i="38"/>
  <c r="F18" i="38"/>
  <c r="G14" i="38"/>
  <c r="F14" i="38"/>
  <c r="G10" i="38"/>
  <c r="F10" i="38"/>
  <c r="G6" i="38"/>
  <c r="F6" i="38"/>
  <c r="G90" i="37"/>
  <c r="F90" i="37"/>
  <c r="G86" i="37"/>
  <c r="F86" i="37"/>
  <c r="G82" i="37"/>
  <c r="F82" i="37"/>
  <c r="G78" i="37"/>
  <c r="F78" i="37"/>
  <c r="G74" i="37"/>
  <c r="F74" i="37"/>
  <c r="G70" i="37"/>
  <c r="F70" i="37"/>
  <c r="G66" i="37"/>
  <c r="F66" i="37"/>
  <c r="G54" i="37"/>
  <c r="F54" i="37"/>
  <c r="G50" i="37"/>
  <c r="F50" i="37"/>
  <c r="G46" i="37"/>
  <c r="F46" i="37"/>
  <c r="G42" i="37"/>
  <c r="F42" i="37"/>
  <c r="G38" i="37"/>
  <c r="F38" i="37"/>
  <c r="G34" i="37"/>
  <c r="F34" i="37"/>
  <c r="G30" i="37"/>
  <c r="F30" i="37"/>
  <c r="G26" i="37"/>
  <c r="F26" i="37"/>
  <c r="G21" i="37"/>
  <c r="F21" i="37"/>
  <c r="G17" i="37"/>
  <c r="F17" i="37"/>
  <c r="G13" i="37"/>
  <c r="F13" i="37"/>
  <c r="G9" i="37"/>
  <c r="F9" i="37"/>
  <c r="G3" i="37"/>
  <c r="F3" i="37"/>
  <c r="G91" i="37"/>
  <c r="F91" i="37"/>
  <c r="G87" i="37"/>
  <c r="F87" i="37"/>
  <c r="G83" i="37"/>
  <c r="F83" i="37"/>
  <c r="G79" i="37"/>
  <c r="F79" i="37"/>
  <c r="G75" i="37"/>
  <c r="F75" i="37"/>
  <c r="G71" i="37"/>
  <c r="F71" i="37"/>
  <c r="G67" i="37"/>
  <c r="F67" i="37"/>
  <c r="G63" i="37"/>
  <c r="F63" i="37"/>
  <c r="G55" i="37"/>
  <c r="F55" i="37"/>
  <c r="G51" i="37"/>
  <c r="F51" i="37"/>
  <c r="G47" i="37"/>
  <c r="F47" i="37"/>
  <c r="G43" i="37"/>
  <c r="F43" i="37"/>
  <c r="G39" i="37"/>
  <c r="F39" i="37"/>
  <c r="G35" i="37"/>
  <c r="F35" i="37"/>
  <c r="G31" i="37"/>
  <c r="F31" i="37"/>
  <c r="G27" i="37"/>
  <c r="F27" i="37"/>
  <c r="G23" i="37"/>
  <c r="F23" i="37"/>
  <c r="G18" i="37"/>
  <c r="F18" i="37"/>
  <c r="G14" i="37"/>
  <c r="F14" i="37"/>
  <c r="G10" i="37"/>
  <c r="F10" i="37"/>
  <c r="G88" i="37"/>
  <c r="F88" i="37"/>
  <c r="G84" i="37"/>
  <c r="F84" i="37"/>
  <c r="G80" i="37"/>
  <c r="F80" i="37"/>
  <c r="G76" i="37"/>
  <c r="F76" i="37"/>
  <c r="G72" i="37"/>
  <c r="F72" i="37"/>
  <c r="G68" i="37"/>
  <c r="F68" i="37"/>
  <c r="G64" i="37"/>
  <c r="F64" i="37"/>
  <c r="G56" i="37"/>
  <c r="F56" i="37"/>
  <c r="G52" i="37"/>
  <c r="F52" i="37"/>
  <c r="G48" i="37"/>
  <c r="F48" i="37"/>
  <c r="G44" i="37"/>
  <c r="F44" i="37"/>
  <c r="G40" i="37"/>
  <c r="F40" i="37"/>
  <c r="G36" i="37"/>
  <c r="F36" i="37"/>
  <c r="G32" i="37"/>
  <c r="F32" i="37"/>
  <c r="G28" i="37"/>
  <c r="F28" i="37"/>
  <c r="G24" i="37"/>
  <c r="F24" i="37"/>
  <c r="G19" i="37"/>
  <c r="F19" i="37"/>
  <c r="G15" i="37"/>
  <c r="F15" i="37"/>
  <c r="G11" i="37"/>
  <c r="F11" i="37"/>
  <c r="G89" i="37"/>
  <c r="F89" i="37"/>
  <c r="G85" i="37"/>
  <c r="F85" i="37"/>
  <c r="G81" i="37"/>
  <c r="F81" i="37"/>
  <c r="G77" i="37"/>
  <c r="F77" i="37"/>
  <c r="G73" i="37"/>
  <c r="F73" i="37"/>
  <c r="G69" i="37"/>
  <c r="F69" i="37"/>
  <c r="G65" i="37"/>
  <c r="F65" i="37"/>
  <c r="G57" i="37"/>
  <c r="F57" i="37"/>
  <c r="G53" i="37"/>
  <c r="F53" i="37"/>
  <c r="G49" i="37"/>
  <c r="F49" i="37"/>
  <c r="G45" i="37"/>
  <c r="F45" i="37"/>
  <c r="G41" i="37"/>
  <c r="F41" i="37"/>
  <c r="G37" i="37"/>
  <c r="F37" i="37"/>
  <c r="G33" i="37"/>
  <c r="F33" i="37"/>
  <c r="G29" i="37"/>
  <c r="F29" i="37"/>
  <c r="G25" i="37"/>
  <c r="F25" i="37"/>
  <c r="G20" i="37"/>
  <c r="F20" i="37"/>
  <c r="G16" i="37"/>
  <c r="F16" i="37"/>
  <c r="G12" i="37"/>
  <c r="F12" i="37"/>
  <c r="G8" i="37"/>
  <c r="F8" i="37"/>
  <c r="F5" i="37"/>
  <c r="F4" i="37"/>
  <c r="G76" i="4"/>
  <c r="F76" i="4"/>
  <c r="G72" i="4"/>
  <c r="F72" i="4"/>
  <c r="F60" i="4"/>
  <c r="F64" i="4"/>
  <c r="F68" i="4"/>
  <c r="G86" i="4"/>
  <c r="F86" i="4"/>
  <c r="F96" i="4"/>
  <c r="F100" i="4"/>
  <c r="F104" i="4"/>
  <c r="G78" i="4"/>
  <c r="F78" i="4"/>
  <c r="G74" i="4"/>
  <c r="F74" i="4"/>
  <c r="G62" i="4"/>
  <c r="F62" i="4"/>
  <c r="G66" i="4"/>
  <c r="F66" i="4"/>
  <c r="F80" i="4"/>
  <c r="F84" i="4"/>
  <c r="F88" i="4"/>
  <c r="G94" i="4"/>
  <c r="F94" i="4"/>
  <c r="G98" i="4"/>
  <c r="F98" i="4"/>
  <c r="G102" i="4"/>
  <c r="F102" i="4"/>
  <c r="G75" i="4"/>
  <c r="F75" i="4"/>
  <c r="D7" i="4"/>
  <c r="C7" i="4" s="1"/>
  <c r="D16" i="4"/>
  <c r="C16" i="4" s="1"/>
  <c r="B16" i="45" s="1"/>
  <c r="D23" i="4"/>
  <c r="C23" i="4" s="1"/>
  <c r="D32" i="4"/>
  <c r="C32" i="4" s="1"/>
  <c r="D39" i="4"/>
  <c r="C39" i="4" s="1"/>
  <c r="B39" i="45" s="1"/>
  <c r="D42" i="4"/>
  <c r="C42" i="4" s="1"/>
  <c r="B42" i="45" s="1"/>
  <c r="D52" i="4"/>
  <c r="C52" i="4" s="1"/>
  <c r="D8" i="4"/>
  <c r="C8" i="4" s="1"/>
  <c r="D10" i="4"/>
  <c r="C10" i="4" s="1"/>
  <c r="B10" i="45" s="1"/>
  <c r="D18" i="4"/>
  <c r="C18" i="4" s="1"/>
  <c r="D33" i="4"/>
  <c r="C33" i="4" s="1"/>
  <c r="G33" i="4" s="1"/>
  <c r="D49" i="4"/>
  <c r="C49" i="4" s="1"/>
  <c r="F70" i="4"/>
  <c r="F90" i="4"/>
  <c r="G77" i="4"/>
  <c r="G73" i="4"/>
  <c r="D9" i="4"/>
  <c r="C9" i="4" s="1"/>
  <c r="F9" i="4" s="1"/>
  <c r="D58" i="4"/>
  <c r="C58" i="4" s="1"/>
  <c r="B58" i="45" s="1"/>
  <c r="D3" i="4"/>
  <c r="C3" i="4" s="1"/>
  <c r="F3" i="4" s="1"/>
  <c r="D5" i="4"/>
  <c r="C5" i="4" s="1"/>
  <c r="G5" i="4" s="1"/>
  <c r="D11" i="4"/>
  <c r="C11" i="4" s="1"/>
  <c r="B11" i="45" s="1"/>
  <c r="D13" i="4"/>
  <c r="C13" i="4" s="1"/>
  <c r="D21" i="4"/>
  <c r="C21" i="4" s="1"/>
  <c r="D34" i="4"/>
  <c r="C34" i="4" s="1"/>
  <c r="D36" i="4"/>
  <c r="C36" i="4" s="1"/>
  <c r="B36" i="45" s="1"/>
  <c r="D45" i="4"/>
  <c r="C45" i="4" s="1"/>
  <c r="D47" i="4"/>
  <c r="C47" i="4" s="1"/>
  <c r="B47" i="45" s="1"/>
  <c r="D50" i="4"/>
  <c r="C50" i="4" s="1"/>
  <c r="D56" i="4"/>
  <c r="C56" i="4" s="1"/>
  <c r="F56" i="4" s="1"/>
  <c r="D57" i="4"/>
  <c r="C57" i="4" s="1"/>
  <c r="B57" i="45" s="1"/>
  <c r="D22" i="4"/>
  <c r="C22" i="4" s="1"/>
  <c r="F22" i="4" s="1"/>
  <c r="F66" i="19"/>
  <c r="G66" i="19"/>
  <c r="F65" i="19"/>
  <c r="G65" i="19"/>
  <c r="G65" i="18"/>
  <c r="F65" i="18"/>
  <c r="F75" i="12"/>
  <c r="F72" i="10"/>
  <c r="G72" i="10"/>
  <c r="F71" i="10"/>
  <c r="G71" i="10"/>
  <c r="G72" i="9"/>
  <c r="F72" i="9"/>
  <c r="F71" i="9"/>
  <c r="G71" i="9"/>
  <c r="G82" i="4"/>
  <c r="F82" i="4"/>
  <c r="G60" i="10"/>
  <c r="F97" i="29"/>
  <c r="F97" i="36"/>
  <c r="F97" i="34"/>
  <c r="G97" i="32"/>
  <c r="F97" i="32"/>
  <c r="G96" i="32"/>
  <c r="F96" i="32"/>
  <c r="F93" i="34"/>
  <c r="F93" i="32"/>
  <c r="G93" i="32"/>
  <c r="F93" i="29"/>
  <c r="G94" i="12"/>
  <c r="F94" i="12"/>
  <c r="F85" i="18"/>
  <c r="G85" i="18"/>
  <c r="G60" i="19"/>
  <c r="F60" i="19"/>
  <c r="G59" i="19"/>
  <c r="F59" i="19"/>
  <c r="F58" i="19"/>
  <c r="G58" i="19"/>
  <c r="F57" i="19"/>
  <c r="G56" i="19"/>
  <c r="F56" i="19"/>
  <c r="G55" i="19"/>
  <c r="F55" i="19"/>
  <c r="F54" i="19"/>
  <c r="G69" i="13"/>
  <c r="F69" i="13"/>
  <c r="F68" i="13"/>
  <c r="G68" i="13"/>
  <c r="F67" i="13"/>
  <c r="G67" i="13"/>
  <c r="F66" i="13"/>
  <c r="G66" i="13"/>
  <c r="G65" i="13"/>
  <c r="F65" i="13"/>
  <c r="F64" i="13"/>
  <c r="G64" i="13"/>
  <c r="G63" i="13"/>
  <c r="F63" i="13"/>
  <c r="F69" i="12"/>
  <c r="G69" i="12"/>
  <c r="G68" i="12"/>
  <c r="F68" i="12"/>
  <c r="G67" i="12"/>
  <c r="F67" i="12"/>
  <c r="F66" i="12"/>
  <c r="F65" i="12"/>
  <c r="G65" i="12"/>
  <c r="G64" i="12"/>
  <c r="F64" i="12"/>
  <c r="G63" i="12"/>
  <c r="F63" i="12"/>
  <c r="G60" i="9"/>
  <c r="F60" i="9"/>
  <c r="G66" i="9"/>
  <c r="F66" i="9"/>
  <c r="F63" i="5"/>
  <c r="F3" i="17"/>
  <c r="G3" i="17"/>
  <c r="F95" i="17"/>
  <c r="G95" i="17"/>
  <c r="F91" i="17"/>
  <c r="G91" i="17"/>
  <c r="F87" i="17"/>
  <c r="G87" i="17"/>
  <c r="F83" i="17"/>
  <c r="G83" i="17"/>
  <c r="F79" i="17"/>
  <c r="G79" i="17"/>
  <c r="F75" i="17"/>
  <c r="G75" i="17"/>
  <c r="F59" i="17"/>
  <c r="G59" i="17"/>
  <c r="F55" i="17"/>
  <c r="G55" i="17"/>
  <c r="F51" i="17"/>
  <c r="G51" i="17"/>
  <c r="F47" i="17"/>
  <c r="G47" i="17"/>
  <c r="F43" i="17"/>
  <c r="G43" i="17"/>
  <c r="F39" i="17"/>
  <c r="G39" i="17"/>
  <c r="F35" i="17"/>
  <c r="G35" i="17"/>
  <c r="F31" i="17"/>
  <c r="G31" i="17"/>
  <c r="F27" i="17"/>
  <c r="G27" i="17"/>
  <c r="F23" i="17"/>
  <c r="G23" i="17"/>
  <c r="F19" i="17"/>
  <c r="G19" i="17"/>
  <c r="F15" i="17"/>
  <c r="G15" i="17"/>
  <c r="F5" i="17"/>
  <c r="G5" i="17"/>
  <c r="F96" i="17"/>
  <c r="G96" i="17"/>
  <c r="F92" i="17"/>
  <c r="G92" i="17"/>
  <c r="F88" i="17"/>
  <c r="G88" i="17"/>
  <c r="F84" i="17"/>
  <c r="G84" i="17"/>
  <c r="F80" i="17"/>
  <c r="G80" i="17"/>
  <c r="F76" i="17"/>
  <c r="G76" i="17"/>
  <c r="F72" i="17"/>
  <c r="G72" i="17"/>
  <c r="F56" i="17"/>
  <c r="G56" i="17"/>
  <c r="F52" i="17"/>
  <c r="G52" i="17"/>
  <c r="F48" i="17"/>
  <c r="G48" i="17"/>
  <c r="F44" i="17"/>
  <c r="G44" i="17"/>
  <c r="F40" i="17"/>
  <c r="G40" i="17"/>
  <c r="F36" i="17"/>
  <c r="G36" i="17"/>
  <c r="F32" i="17"/>
  <c r="G32" i="17"/>
  <c r="F28" i="17"/>
  <c r="G28" i="17"/>
  <c r="F24" i="17"/>
  <c r="G24" i="17"/>
  <c r="F20" i="17"/>
  <c r="G20" i="17"/>
  <c r="F16" i="17"/>
  <c r="G16" i="17"/>
  <c r="F6" i="17"/>
  <c r="G6" i="17"/>
  <c r="G57" i="17"/>
  <c r="F57" i="17"/>
  <c r="G53" i="17"/>
  <c r="F53" i="17"/>
  <c r="G49" i="17"/>
  <c r="F49" i="17"/>
  <c r="G45" i="17"/>
  <c r="F45" i="17"/>
  <c r="G41" i="17"/>
  <c r="F41" i="17"/>
  <c r="G37" i="17"/>
  <c r="F37" i="17"/>
  <c r="G33" i="17"/>
  <c r="F33" i="17"/>
  <c r="G29" i="17"/>
  <c r="F29" i="17"/>
  <c r="G25" i="17"/>
  <c r="F25" i="17"/>
  <c r="G21" i="17"/>
  <c r="F21" i="17"/>
  <c r="G17" i="17"/>
  <c r="F17" i="17"/>
  <c r="G13" i="17"/>
  <c r="F13" i="17"/>
  <c r="F97" i="17"/>
  <c r="F93" i="17"/>
  <c r="F89" i="17"/>
  <c r="F85" i="17"/>
  <c r="F81" i="17"/>
  <c r="F77" i="17"/>
  <c r="F73" i="17"/>
  <c r="G94" i="17"/>
  <c r="G90" i="17"/>
  <c r="G86" i="17"/>
  <c r="G82" i="17"/>
  <c r="G78" i="17"/>
  <c r="G74" i="17"/>
  <c r="G58" i="17"/>
  <c r="G54" i="17"/>
  <c r="G50" i="17"/>
  <c r="G46" i="17"/>
  <c r="G42" i="17"/>
  <c r="G38" i="17"/>
  <c r="G34" i="17"/>
  <c r="G30" i="17"/>
  <c r="G26" i="17"/>
  <c r="G22" i="17"/>
  <c r="G18" i="17"/>
  <c r="G14" i="17"/>
  <c r="G4" i="17"/>
  <c r="F94" i="17"/>
  <c r="F90" i="17"/>
  <c r="F86" i="17"/>
  <c r="F82" i="17"/>
  <c r="F78" i="17"/>
  <c r="F74" i="17"/>
  <c r="G70" i="17"/>
  <c r="G66" i="17"/>
  <c r="F66" i="17"/>
  <c r="F68" i="17"/>
  <c r="G68" i="17"/>
  <c r="F64" i="17"/>
  <c r="G64" i="17"/>
  <c r="F69" i="17"/>
  <c r="G69" i="17"/>
  <c r="F65" i="17"/>
  <c r="G65" i="17"/>
  <c r="G67" i="17"/>
  <c r="G63" i="17"/>
  <c r="F63" i="17"/>
  <c r="F61" i="17"/>
  <c r="G61" i="17"/>
  <c r="F62" i="17"/>
  <c r="G62" i="17"/>
  <c r="G60" i="17"/>
  <c r="F60" i="17"/>
  <c r="G71" i="17"/>
  <c r="F71" i="17"/>
  <c r="F96" i="36"/>
  <c r="G96" i="36"/>
  <c r="G95" i="36"/>
  <c r="F95" i="36"/>
  <c r="G93" i="36"/>
  <c r="G97" i="36"/>
  <c r="F94" i="35"/>
  <c r="G94" i="35"/>
  <c r="F97" i="35"/>
  <c r="G97" i="35"/>
  <c r="F93" i="35"/>
  <c r="G93" i="35"/>
  <c r="F96" i="35"/>
  <c r="G96" i="35"/>
  <c r="F95" i="35"/>
  <c r="F94" i="34"/>
  <c r="G94" i="34"/>
  <c r="F96" i="34"/>
  <c r="G96" i="34"/>
  <c r="G95" i="34"/>
  <c r="F95" i="34"/>
  <c r="G93" i="34"/>
  <c r="G97" i="34"/>
  <c r="G94" i="33"/>
  <c r="F96" i="33"/>
  <c r="G96" i="33"/>
  <c r="G95" i="33"/>
  <c r="F95" i="33"/>
  <c r="G93" i="33"/>
  <c r="G97" i="33"/>
  <c r="F94" i="29"/>
  <c r="G94" i="29"/>
  <c r="F96" i="29"/>
  <c r="G96" i="29"/>
  <c r="G95" i="29"/>
  <c r="F95" i="29"/>
  <c r="G93" i="29"/>
  <c r="G97" i="29"/>
  <c r="F94" i="30"/>
  <c r="F97" i="30"/>
  <c r="G97" i="30"/>
  <c r="F93" i="30"/>
  <c r="G93" i="30"/>
  <c r="G95" i="30"/>
  <c r="F95" i="30"/>
  <c r="G96" i="30"/>
  <c r="G93" i="31"/>
  <c r="G97" i="31"/>
  <c r="G95" i="31"/>
  <c r="F95" i="31"/>
  <c r="F94" i="31"/>
  <c r="G94" i="31"/>
  <c r="G96" i="31"/>
  <c r="G88" i="20"/>
  <c r="F88" i="19"/>
  <c r="G88" i="19"/>
  <c r="F88" i="18"/>
  <c r="G88" i="18"/>
  <c r="F98" i="17"/>
  <c r="G97" i="15"/>
  <c r="F97" i="15"/>
  <c r="G97" i="14"/>
  <c r="F97" i="14"/>
  <c r="G97" i="13"/>
  <c r="F97" i="13"/>
  <c r="F97" i="12"/>
  <c r="F97" i="16"/>
  <c r="D8" i="17"/>
  <c r="C8" i="17" s="1"/>
  <c r="AC15" i="45" s="1"/>
  <c r="D9" i="17"/>
  <c r="C9" i="17" s="1"/>
  <c r="AC16" i="45" s="1"/>
  <c r="D10" i="17"/>
  <c r="C10" i="17" s="1"/>
  <c r="AC17" i="45" s="1"/>
  <c r="D12" i="17"/>
  <c r="C12" i="17" s="1"/>
  <c r="AC19" i="45" s="1"/>
  <c r="F74" i="16"/>
  <c r="F74" i="12"/>
  <c r="D11" i="17"/>
  <c r="C11" i="17" s="1"/>
  <c r="AC18" i="45" s="1"/>
  <c r="D7" i="17"/>
  <c r="C7" i="17" s="1"/>
  <c r="AC14" i="45" s="1"/>
  <c r="D26" i="8"/>
  <c r="C26" i="8" s="1"/>
  <c r="R34" i="45" s="1"/>
  <c r="D43" i="8"/>
  <c r="C43" i="8" s="1"/>
  <c r="D18" i="8"/>
  <c r="C18" i="8" s="1"/>
  <c r="D27" i="8"/>
  <c r="C27" i="8" s="1"/>
  <c r="D32" i="8"/>
  <c r="C32" i="8" s="1"/>
  <c r="R40" i="45" s="1"/>
  <c r="D39" i="8"/>
  <c r="C39" i="8" s="1"/>
  <c r="F39" i="8" s="1"/>
  <c r="D6" i="8"/>
  <c r="C6" i="8" s="1"/>
  <c r="D16" i="8"/>
  <c r="C16" i="8" s="1"/>
  <c r="G16" i="8" s="1"/>
  <c r="D23" i="8"/>
  <c r="C23" i="8" s="1"/>
  <c r="R31" i="45" s="1"/>
  <c r="D30" i="8"/>
  <c r="C30" i="8" s="1"/>
  <c r="F30" i="8" s="1"/>
  <c r="D45" i="8"/>
  <c r="C45" i="8" s="1"/>
  <c r="G15" i="8"/>
  <c r="G35" i="8"/>
  <c r="F36" i="8"/>
  <c r="F44" i="8"/>
  <c r="F53" i="8"/>
  <c r="G53" i="8"/>
  <c r="F57" i="8"/>
  <c r="G57" i="8"/>
  <c r="F61" i="8"/>
  <c r="G61" i="8"/>
  <c r="F69" i="8"/>
  <c r="G69" i="8"/>
  <c r="F73" i="8"/>
  <c r="G73" i="8"/>
  <c r="F77" i="8"/>
  <c r="G77" i="8"/>
  <c r="F81" i="8"/>
  <c r="G81" i="8"/>
  <c r="F85" i="8"/>
  <c r="G85" i="8"/>
  <c r="F89" i="8"/>
  <c r="G89" i="8"/>
  <c r="F93" i="8"/>
  <c r="G93" i="8"/>
  <c r="G8" i="8"/>
  <c r="F25" i="8"/>
  <c r="F52" i="8"/>
  <c r="G52" i="8"/>
  <c r="F56" i="8"/>
  <c r="G56" i="8"/>
  <c r="F60" i="8"/>
  <c r="G60" i="8"/>
  <c r="F72" i="8"/>
  <c r="G72" i="8"/>
  <c r="F76" i="8"/>
  <c r="G76" i="8"/>
  <c r="F80" i="8"/>
  <c r="G80" i="8"/>
  <c r="F84" i="8"/>
  <c r="G84" i="8"/>
  <c r="F88" i="8"/>
  <c r="G88" i="8"/>
  <c r="F92" i="8"/>
  <c r="G92" i="8"/>
  <c r="F96" i="8"/>
  <c r="G96" i="8"/>
  <c r="F7" i="8"/>
  <c r="G7" i="8"/>
  <c r="F10" i="8"/>
  <c r="F19" i="8"/>
  <c r="F28" i="8"/>
  <c r="G28" i="8"/>
  <c r="F38" i="8"/>
  <c r="G38" i="8"/>
  <c r="G40" i="8"/>
  <c r="F55" i="8"/>
  <c r="G55" i="8"/>
  <c r="F59" i="8"/>
  <c r="G59" i="8"/>
  <c r="F63" i="8"/>
  <c r="G63" i="8"/>
  <c r="F71" i="8"/>
  <c r="G71" i="8"/>
  <c r="F79" i="8"/>
  <c r="G79" i="8"/>
  <c r="F83" i="8"/>
  <c r="G83" i="8"/>
  <c r="F87" i="8"/>
  <c r="G87" i="8"/>
  <c r="F91" i="8"/>
  <c r="G91" i="8"/>
  <c r="F95" i="8"/>
  <c r="G95" i="8"/>
  <c r="F11" i="8"/>
  <c r="G17" i="8"/>
  <c r="G31" i="8"/>
  <c r="F46" i="8"/>
  <c r="G46" i="8"/>
  <c r="G51" i="8"/>
  <c r="F51" i="8"/>
  <c r="F54" i="8"/>
  <c r="G54" i="8"/>
  <c r="F58" i="8"/>
  <c r="G58" i="8"/>
  <c r="F62" i="8"/>
  <c r="G62" i="8"/>
  <c r="F70" i="8"/>
  <c r="G70" i="8"/>
  <c r="F74" i="8"/>
  <c r="G74" i="8"/>
  <c r="F78" i="8"/>
  <c r="G78" i="8"/>
  <c r="F82" i="8"/>
  <c r="G82" i="8"/>
  <c r="F86" i="8"/>
  <c r="G86" i="8"/>
  <c r="F90" i="8"/>
  <c r="G90" i="8"/>
  <c r="F94" i="8"/>
  <c r="G94" i="8"/>
  <c r="F3" i="8"/>
  <c r="G21" i="8"/>
  <c r="F17" i="4"/>
  <c r="F24" i="4"/>
  <c r="F4" i="4"/>
  <c r="F6" i="4"/>
  <c r="G48" i="4"/>
  <c r="G59" i="4"/>
  <c r="F59" i="4"/>
  <c r="F89" i="4"/>
  <c r="G89" i="4"/>
  <c r="G91" i="4"/>
  <c r="F91" i="4"/>
  <c r="F105" i="4"/>
  <c r="G105" i="4"/>
  <c r="F47" i="4"/>
  <c r="G63" i="4"/>
  <c r="F63" i="4"/>
  <c r="F93" i="4"/>
  <c r="G93" i="4"/>
  <c r="G95" i="4"/>
  <c r="F95" i="4"/>
  <c r="F15" i="4"/>
  <c r="G38" i="4"/>
  <c r="F61" i="4"/>
  <c r="G61" i="4"/>
  <c r="F35" i="4"/>
  <c r="F43" i="4"/>
  <c r="G43" i="4"/>
  <c r="G51" i="4"/>
  <c r="G57" i="4"/>
  <c r="F57" i="4"/>
  <c r="F65" i="4"/>
  <c r="G65" i="4"/>
  <c r="G67" i="4"/>
  <c r="F67" i="4"/>
  <c r="F81" i="4"/>
  <c r="G81" i="4"/>
  <c r="G83" i="4"/>
  <c r="F83" i="4"/>
  <c r="F97" i="4"/>
  <c r="G97" i="4"/>
  <c r="G99" i="4"/>
  <c r="F99" i="4"/>
  <c r="G7" i="4"/>
  <c r="F16" i="4"/>
  <c r="G16" i="4"/>
  <c r="G23" i="4"/>
  <c r="F36" i="4"/>
  <c r="G45" i="4"/>
  <c r="G79" i="4"/>
  <c r="F79" i="4"/>
  <c r="G18" i="4"/>
  <c r="G13" i="4"/>
  <c r="F20" i="4"/>
  <c r="G21" i="4"/>
  <c r="F41" i="4"/>
  <c r="F42" i="4"/>
  <c r="G42" i="4"/>
  <c r="F58" i="4"/>
  <c r="G58" i="4"/>
  <c r="F69" i="4"/>
  <c r="G69" i="4"/>
  <c r="G71" i="4"/>
  <c r="F71" i="4"/>
  <c r="F85" i="4"/>
  <c r="G85" i="4"/>
  <c r="G87" i="4"/>
  <c r="F87" i="4"/>
  <c r="F101" i="4"/>
  <c r="G101" i="4"/>
  <c r="G103" i="4"/>
  <c r="F103" i="4"/>
  <c r="G60" i="4"/>
  <c r="G64" i="4"/>
  <c r="G68" i="4"/>
  <c r="G80" i="4"/>
  <c r="G84" i="4"/>
  <c r="G88" i="4"/>
  <c r="G92" i="4"/>
  <c r="G96" i="4"/>
  <c r="G100" i="4"/>
  <c r="G104" i="4"/>
  <c r="AU74" i="45" l="1"/>
  <c r="AU77" i="45"/>
  <c r="AU41" i="45"/>
  <c r="AU57" i="45"/>
  <c r="AU84" i="45"/>
  <c r="AU73" i="45"/>
  <c r="AU53" i="45"/>
  <c r="AU72" i="45"/>
  <c r="AU103" i="45"/>
  <c r="AU45" i="45"/>
  <c r="AU61" i="45"/>
  <c r="AU75" i="45"/>
  <c r="AU37" i="45"/>
  <c r="AU32" i="45"/>
  <c r="AU105" i="45"/>
  <c r="AU76" i="45"/>
  <c r="AU33" i="45"/>
  <c r="AU49" i="45"/>
  <c r="AU65" i="45"/>
  <c r="AT115" i="45"/>
  <c r="G35" i="4"/>
  <c r="G36" i="8"/>
  <c r="F66" i="10"/>
  <c r="F63" i="10"/>
  <c r="G47" i="4"/>
  <c r="F44" i="4"/>
  <c r="G14" i="4"/>
  <c r="F40" i="8"/>
  <c r="G9" i="8"/>
  <c r="G50" i="8"/>
  <c r="G40" i="4"/>
  <c r="G44" i="4"/>
  <c r="F14" i="4"/>
  <c r="F9" i="8"/>
  <c r="F50" i="8"/>
  <c r="F40" i="4"/>
  <c r="F38" i="4"/>
  <c r="G10" i="8"/>
  <c r="G44" i="8"/>
  <c r="G49" i="8"/>
  <c r="R57" i="45"/>
  <c r="F4" i="8"/>
  <c r="R12" i="45"/>
  <c r="G41" i="4"/>
  <c r="G11" i="4"/>
  <c r="G46" i="4"/>
  <c r="G15" i="4"/>
  <c r="F17" i="8"/>
  <c r="F35" i="8"/>
  <c r="F15" i="8"/>
  <c r="F16" i="8"/>
  <c r="R24" i="45"/>
  <c r="G27" i="8"/>
  <c r="R35" i="45"/>
  <c r="G50" i="4"/>
  <c r="B50" i="45"/>
  <c r="F34" i="4"/>
  <c r="B34" i="45"/>
  <c r="F5" i="4"/>
  <c r="B5" i="45"/>
  <c r="F49" i="4"/>
  <c r="B49" i="45"/>
  <c r="F8" i="4"/>
  <c r="B8" i="45"/>
  <c r="F32" i="4"/>
  <c r="B32" i="45"/>
  <c r="F41" i="8"/>
  <c r="R49" i="45"/>
  <c r="F14" i="8"/>
  <c r="R22" i="45"/>
  <c r="F13" i="8"/>
  <c r="R21" i="45"/>
  <c r="F48" i="8"/>
  <c r="R56" i="45"/>
  <c r="F29" i="8"/>
  <c r="R37" i="45"/>
  <c r="G22" i="8"/>
  <c r="R30" i="45"/>
  <c r="F24" i="8"/>
  <c r="R32" i="45"/>
  <c r="F34" i="8"/>
  <c r="R42" i="45"/>
  <c r="G39" i="4"/>
  <c r="F19" i="4"/>
  <c r="F11" i="4"/>
  <c r="F10" i="4"/>
  <c r="F46" i="4"/>
  <c r="G26" i="8"/>
  <c r="F23" i="8"/>
  <c r="G32" i="8"/>
  <c r="G24" i="8"/>
  <c r="G45" i="8"/>
  <c r="R53" i="45"/>
  <c r="G6" i="8"/>
  <c r="R14" i="45"/>
  <c r="F18" i="8"/>
  <c r="R26" i="45"/>
  <c r="G22" i="4"/>
  <c r="B22" i="45"/>
  <c r="F21" i="4"/>
  <c r="B21" i="45"/>
  <c r="G3" i="4"/>
  <c r="B3" i="45"/>
  <c r="AT3" i="45" s="1"/>
  <c r="F33" i="4"/>
  <c r="B33" i="45"/>
  <c r="G52" i="4"/>
  <c r="B52" i="45"/>
  <c r="F23" i="4"/>
  <c r="B23" i="45"/>
  <c r="F37" i="8"/>
  <c r="R45" i="45"/>
  <c r="F8" i="8"/>
  <c r="R16" i="45"/>
  <c r="F47" i="8"/>
  <c r="R55" i="45"/>
  <c r="G19" i="8"/>
  <c r="R27" i="45"/>
  <c r="F42" i="8"/>
  <c r="R50" i="45"/>
  <c r="G55" i="4"/>
  <c r="B55" i="45"/>
  <c r="F12" i="4"/>
  <c r="B12" i="45"/>
  <c r="F12" i="8"/>
  <c r="R20" i="45"/>
  <c r="F37" i="4"/>
  <c r="B37" i="45"/>
  <c r="G33" i="8"/>
  <c r="R41" i="45"/>
  <c r="G54" i="4"/>
  <c r="B54" i="45"/>
  <c r="G56" i="4"/>
  <c r="B56" i="45"/>
  <c r="G9" i="4"/>
  <c r="B9" i="45"/>
  <c r="F7" i="4"/>
  <c r="B7" i="45"/>
  <c r="AT7" i="45" s="1"/>
  <c r="G20" i="8"/>
  <c r="R28" i="45"/>
  <c r="G5" i="8"/>
  <c r="R13" i="45"/>
  <c r="F39" i="4"/>
  <c r="G19" i="4"/>
  <c r="AT5" i="45"/>
  <c r="G10" i="4"/>
  <c r="G36" i="4"/>
  <c r="F51" i="4"/>
  <c r="G4" i="4"/>
  <c r="AT4" i="45" s="1"/>
  <c r="F20" i="8"/>
  <c r="G30" i="8"/>
  <c r="R38" i="45"/>
  <c r="G39" i="8"/>
  <c r="R47" i="45"/>
  <c r="G43" i="8"/>
  <c r="R51" i="45"/>
  <c r="F45" i="4"/>
  <c r="B45" i="45"/>
  <c r="F13" i="4"/>
  <c r="B13" i="45"/>
  <c r="F18" i="4"/>
  <c r="B18" i="45"/>
  <c r="F31" i="8"/>
  <c r="R39" i="45"/>
  <c r="G11" i="8"/>
  <c r="R19" i="45"/>
  <c r="F21" i="8"/>
  <c r="R29" i="45"/>
  <c r="F48" i="4"/>
  <c r="B48" i="45"/>
  <c r="G24" i="4"/>
  <c r="B24" i="45"/>
  <c r="G6" i="4"/>
  <c r="B6" i="45"/>
  <c r="AT6" i="45" s="1"/>
  <c r="G17" i="4"/>
  <c r="B17" i="45"/>
  <c r="F53" i="4"/>
  <c r="B53" i="45"/>
  <c r="G20" i="4"/>
  <c r="B20" i="45"/>
  <c r="G25" i="8"/>
  <c r="R33" i="45"/>
  <c r="AT110" i="45"/>
  <c r="AT108" i="45"/>
  <c r="AT113" i="45"/>
  <c r="AT114" i="45"/>
  <c r="AT109" i="45"/>
  <c r="AT112" i="45"/>
  <c r="AT107" i="45"/>
  <c r="AT111" i="45"/>
  <c r="F55" i="4"/>
  <c r="F52" i="4"/>
  <c r="G32" i="4"/>
  <c r="G53" i="4"/>
  <c r="G34" i="4"/>
  <c r="G49" i="4"/>
  <c r="F43" i="8"/>
  <c r="G37" i="8"/>
  <c r="G47" i="8"/>
  <c r="F27" i="8"/>
  <c r="G12" i="8"/>
  <c r="G42" i="8"/>
  <c r="G29" i="8"/>
  <c r="G64" i="10"/>
  <c r="F61" i="10"/>
  <c r="F54" i="4"/>
  <c r="G8" i="4"/>
  <c r="G65" i="10"/>
  <c r="F50" i="4"/>
  <c r="G34" i="8"/>
  <c r="F49" i="8"/>
  <c r="G4" i="8"/>
  <c r="F5" i="8"/>
  <c r="F62" i="10"/>
  <c r="AV3" i="21"/>
  <c r="AV7" i="21"/>
  <c r="G31" i="4"/>
  <c r="F31" i="4"/>
  <c r="AT106" i="45"/>
  <c r="F26" i="8"/>
  <c r="F45" i="8"/>
  <c r="G23" i="8"/>
  <c r="F6" i="8"/>
  <c r="F32" i="8"/>
  <c r="G18" i="8"/>
  <c r="AV4" i="21"/>
  <c r="AV6" i="21"/>
  <c r="AV8" i="21"/>
  <c r="AV2" i="21"/>
  <c r="AV5" i="21"/>
  <c r="AT75" i="45"/>
  <c r="AT10" i="45"/>
  <c r="AV73" i="21"/>
  <c r="AV74" i="21"/>
  <c r="AV71" i="21"/>
  <c r="AV77" i="21"/>
  <c r="AV76" i="21"/>
  <c r="AV72" i="21"/>
  <c r="AV75" i="21"/>
  <c r="AV13" i="21"/>
  <c r="AV29" i="21"/>
  <c r="AV45" i="21"/>
  <c r="AV61" i="21"/>
  <c r="AV84" i="21"/>
  <c r="AV100" i="21"/>
  <c r="AV14" i="21"/>
  <c r="AV30" i="21"/>
  <c r="AV46" i="21"/>
  <c r="AV62" i="21"/>
  <c r="AV85" i="21"/>
  <c r="AV23" i="21"/>
  <c r="AV39" i="21"/>
  <c r="AV55" i="21"/>
  <c r="AV78" i="21"/>
  <c r="AV94" i="21"/>
  <c r="AV101" i="21"/>
  <c r="AV40" i="21"/>
  <c r="AV56" i="21"/>
  <c r="AV79" i="21"/>
  <c r="AV95" i="21"/>
  <c r="AV9" i="21"/>
  <c r="AV24" i="21"/>
  <c r="AV25" i="21"/>
  <c r="AV41" i="21"/>
  <c r="AV57" i="21"/>
  <c r="AV80" i="21"/>
  <c r="AV96" i="21"/>
  <c r="AV26" i="21"/>
  <c r="AV42" i="21"/>
  <c r="AV58" i="21"/>
  <c r="AV81" i="21"/>
  <c r="AV19" i="21"/>
  <c r="AV35" i="21"/>
  <c r="AV51" i="21"/>
  <c r="AV67" i="21"/>
  <c r="AV90" i="21"/>
  <c r="AV97" i="21"/>
  <c r="AV36" i="21"/>
  <c r="AV52" i="21"/>
  <c r="AV68" i="21"/>
  <c r="AV91" i="21"/>
  <c r="AV10" i="21"/>
  <c r="AV20" i="21"/>
  <c r="AV21" i="21"/>
  <c r="AV37" i="21"/>
  <c r="AV53" i="21"/>
  <c r="AV69" i="21"/>
  <c r="AV92" i="21"/>
  <c r="AV22" i="21"/>
  <c r="AV38" i="21"/>
  <c r="AV54" i="21"/>
  <c r="AV70" i="21"/>
  <c r="AV93" i="21"/>
  <c r="AV15" i="21"/>
  <c r="AV31" i="21"/>
  <c r="AV47" i="21"/>
  <c r="AV63" i="21"/>
  <c r="AV86" i="21"/>
  <c r="AV102" i="21"/>
  <c r="AV32" i="21"/>
  <c r="AV48" i="21"/>
  <c r="AV64" i="21"/>
  <c r="AV87" i="21"/>
  <c r="AV103" i="21"/>
  <c r="AV16" i="21"/>
  <c r="AV17" i="21"/>
  <c r="AV33" i="21"/>
  <c r="AV49" i="21"/>
  <c r="AV65" i="21"/>
  <c r="AV88" i="21"/>
  <c r="AV104" i="21"/>
  <c r="AV18" i="21"/>
  <c r="AV34" i="21"/>
  <c r="AV50" i="21"/>
  <c r="AV66" i="21"/>
  <c r="AV89" i="21"/>
  <c r="AV11" i="21"/>
  <c r="AV27" i="21"/>
  <c r="AV43" i="21"/>
  <c r="AV59" i="21"/>
  <c r="AV82" i="21"/>
  <c r="AV98" i="21"/>
  <c r="AV44" i="21"/>
  <c r="AV60" i="21"/>
  <c r="AV83" i="21"/>
  <c r="AV99" i="21"/>
  <c r="AV12" i="21"/>
  <c r="AV28" i="21"/>
  <c r="G12" i="17"/>
  <c r="F12" i="17"/>
  <c r="G10" i="17"/>
  <c r="F10" i="17"/>
  <c r="G8" i="17"/>
  <c r="F8" i="17"/>
  <c r="G7" i="17"/>
  <c r="F7" i="17"/>
  <c r="G11" i="17"/>
  <c r="F11" i="17"/>
  <c r="G9" i="17"/>
  <c r="F9" i="17"/>
  <c r="AT8" i="45" l="1"/>
  <c r="AV10" i="45"/>
  <c r="AV6" i="45"/>
  <c r="AW6" i="45" s="1"/>
  <c r="AV115" i="45"/>
  <c r="AW115" i="45" s="1"/>
  <c r="AV106" i="45"/>
  <c r="AV112" i="45"/>
  <c r="AW112" i="45" s="1"/>
  <c r="AV111" i="45"/>
  <c r="AV109" i="45"/>
  <c r="AW109" i="45" s="1"/>
  <c r="AV110" i="45"/>
  <c r="AV113" i="45"/>
  <c r="AW113" i="45" s="1"/>
  <c r="AV4" i="45"/>
  <c r="AW4" i="45" s="1"/>
  <c r="AV5" i="45"/>
  <c r="AW5" i="45" s="1"/>
  <c r="AV8" i="45"/>
  <c r="AW8" i="45" s="1"/>
  <c r="AV108" i="45"/>
  <c r="AW108" i="45" s="1"/>
  <c r="AV107" i="45"/>
  <c r="AW107" i="45" s="1"/>
  <c r="AV114" i="45"/>
  <c r="AW114" i="45" s="1"/>
  <c r="AV7" i="45"/>
  <c r="AW10" i="45"/>
  <c r="AV75" i="45"/>
  <c r="AT9" i="45"/>
  <c r="AT74" i="45"/>
  <c r="AT82" i="45"/>
  <c r="AT83" i="45"/>
  <c r="AT87" i="45"/>
  <c r="AT36" i="45"/>
  <c r="AT81" i="45"/>
  <c r="AT68" i="45"/>
  <c r="AT38" i="45"/>
  <c r="AT69" i="45"/>
  <c r="AT27" i="45"/>
  <c r="AT20" i="45"/>
  <c r="AT29" i="45"/>
  <c r="AT76" i="45"/>
  <c r="AT77" i="45"/>
  <c r="AT52" i="45"/>
  <c r="AT62" i="45"/>
  <c r="AT30" i="45"/>
  <c r="AT103" i="45"/>
  <c r="AT102" i="45"/>
  <c r="AT11" i="45"/>
  <c r="AT72" i="45"/>
  <c r="AT71" i="45"/>
  <c r="AT73" i="45"/>
  <c r="AV73" i="45" s="1"/>
  <c r="AT78" i="45"/>
  <c r="AT44" i="45"/>
  <c r="AT67" i="45"/>
  <c r="AT24" i="45"/>
  <c r="AT51" i="45"/>
  <c r="AT21" i="45"/>
  <c r="AT91" i="45"/>
  <c r="AT105" i="45"/>
  <c r="AT64" i="45"/>
  <c r="AT66" i="45"/>
  <c r="AT59" i="45"/>
  <c r="AT65" i="45"/>
  <c r="AT33" i="45"/>
  <c r="AT92" i="45"/>
  <c r="AT93" i="45"/>
  <c r="AT60" i="45"/>
  <c r="AT70" i="45"/>
  <c r="AT47" i="45"/>
  <c r="AT46" i="45"/>
  <c r="AT35" i="45"/>
  <c r="AT45" i="45"/>
  <c r="AT13" i="45"/>
  <c r="AT101" i="45"/>
  <c r="AT26" i="45"/>
  <c r="AT56" i="45"/>
  <c r="AT22" i="45"/>
  <c r="AT39" i="45"/>
  <c r="AT90" i="45"/>
  <c r="AT58" i="45"/>
  <c r="AT28" i="45"/>
  <c r="AT43" i="45"/>
  <c r="AT25" i="45"/>
  <c r="AT84" i="45"/>
  <c r="AT104" i="45"/>
  <c r="AT79" i="45"/>
  <c r="AT57" i="45"/>
  <c r="AT54" i="45"/>
  <c r="AT12" i="45"/>
  <c r="AT94" i="45"/>
  <c r="AT96" i="45"/>
  <c r="AT99" i="45"/>
  <c r="AT80" i="45"/>
  <c r="AT48" i="45"/>
  <c r="AT50" i="45"/>
  <c r="AT23" i="45"/>
  <c r="AT85" i="45"/>
  <c r="AT97" i="45"/>
  <c r="AT86" i="45"/>
  <c r="AT37" i="45"/>
  <c r="AT55" i="45"/>
  <c r="AT88" i="45"/>
  <c r="AT63" i="45"/>
  <c r="AT61" i="45"/>
  <c r="AT95" i="45"/>
  <c r="AT40" i="45"/>
  <c r="AT42" i="45"/>
  <c r="AT98" i="45"/>
  <c r="AT41" i="45"/>
  <c r="AT100" i="45"/>
  <c r="AT89" i="45"/>
  <c r="AT53" i="45"/>
  <c r="AT32" i="45"/>
  <c r="AT49" i="45"/>
  <c r="AT31" i="45"/>
  <c r="AT34" i="45"/>
  <c r="AT18" i="45"/>
  <c r="AT15" i="45"/>
  <c r="AT19" i="45"/>
  <c r="AT16" i="45"/>
  <c r="AT14" i="45"/>
  <c r="AT17" i="45"/>
  <c r="AW106" i="45" l="1"/>
  <c r="AX106" i="45" s="1"/>
  <c r="AW111" i="45"/>
  <c r="AX111" i="45" s="1"/>
  <c r="AW110" i="45"/>
  <c r="AX110" i="45" s="1"/>
  <c r="AW7" i="45"/>
  <c r="AX7" i="45" s="1"/>
  <c r="AV32" i="45"/>
  <c r="AV95" i="45"/>
  <c r="AW95" i="45" s="1"/>
  <c r="AV85" i="45"/>
  <c r="AW85" i="45" s="1"/>
  <c r="AV12" i="45"/>
  <c r="AW12" i="45" s="1"/>
  <c r="AV28" i="45"/>
  <c r="AV47" i="45"/>
  <c r="AW47" i="45" s="1"/>
  <c r="AV66" i="45"/>
  <c r="AW66" i="45" s="1"/>
  <c r="AV44" i="45"/>
  <c r="AV30" i="45"/>
  <c r="AW30" i="45" s="1"/>
  <c r="AV76" i="45"/>
  <c r="AW76" i="45" s="1"/>
  <c r="AV74" i="45"/>
  <c r="AW74" i="45" s="1"/>
  <c r="AV16" i="45"/>
  <c r="AW16" i="45" s="1"/>
  <c r="AV53" i="45"/>
  <c r="AV61" i="45"/>
  <c r="AV99" i="45"/>
  <c r="AV84" i="45"/>
  <c r="AW84" i="45" s="1"/>
  <c r="AV56" i="45"/>
  <c r="AW56" i="45" s="1"/>
  <c r="AV45" i="45"/>
  <c r="AV64" i="45"/>
  <c r="AV51" i="45"/>
  <c r="AW51" i="45" s="1"/>
  <c r="AV62" i="45"/>
  <c r="AW62" i="45" s="1"/>
  <c r="AV38" i="45"/>
  <c r="AW38" i="45" s="1"/>
  <c r="AV3" i="45"/>
  <c r="AW3" i="45" s="1"/>
  <c r="AX3" i="45" s="1"/>
  <c r="AV19" i="45"/>
  <c r="AW19" i="45" s="1"/>
  <c r="AV31" i="45"/>
  <c r="AV89" i="45"/>
  <c r="AW89" i="45" s="1"/>
  <c r="AV42" i="45"/>
  <c r="AV63" i="45"/>
  <c r="AW63" i="45" s="1"/>
  <c r="AV86" i="45"/>
  <c r="AV50" i="45"/>
  <c r="AW50" i="45" s="1"/>
  <c r="AV96" i="45"/>
  <c r="AV57" i="45"/>
  <c r="AW57" i="45" s="1"/>
  <c r="AV25" i="45"/>
  <c r="AV90" i="45"/>
  <c r="AW90" i="45" s="1"/>
  <c r="AV26" i="45"/>
  <c r="AV35" i="45"/>
  <c r="AW35" i="45" s="1"/>
  <c r="AV60" i="45"/>
  <c r="AV65" i="45"/>
  <c r="AW65" i="45" s="1"/>
  <c r="AV105" i="45"/>
  <c r="AV24" i="45"/>
  <c r="AW24" i="45" s="1"/>
  <c r="AV102" i="45"/>
  <c r="AW102" i="45" s="1"/>
  <c r="AV52" i="45"/>
  <c r="AV20" i="45"/>
  <c r="AW20" i="45" s="1"/>
  <c r="AV68" i="45"/>
  <c r="AV83" i="45"/>
  <c r="AW83" i="45" s="1"/>
  <c r="AV9" i="45"/>
  <c r="AV14" i="45"/>
  <c r="AV18" i="45"/>
  <c r="AW18" i="45" s="1"/>
  <c r="AV41" i="45"/>
  <c r="AV55" i="45"/>
  <c r="AW55" i="45" s="1"/>
  <c r="AV80" i="45"/>
  <c r="AV104" i="45"/>
  <c r="AW104" i="45" s="1"/>
  <c r="AV22" i="45"/>
  <c r="AW22" i="45" s="1"/>
  <c r="AV13" i="45"/>
  <c r="AW13" i="45" s="1"/>
  <c r="AV92" i="45"/>
  <c r="AW92" i="45" s="1"/>
  <c r="AV21" i="45"/>
  <c r="AW21" i="45" s="1"/>
  <c r="AV72" i="45"/>
  <c r="AV69" i="45"/>
  <c r="AV36" i="45"/>
  <c r="AW36" i="45" s="1"/>
  <c r="AV34" i="45"/>
  <c r="AW34" i="45" s="1"/>
  <c r="AV98" i="45"/>
  <c r="AW98" i="45" s="1"/>
  <c r="AV37" i="45"/>
  <c r="AW37" i="45" s="1"/>
  <c r="AV23" i="45"/>
  <c r="AW23" i="45" s="1"/>
  <c r="AV54" i="45"/>
  <c r="AV58" i="45"/>
  <c r="AW58" i="45" s="1"/>
  <c r="AV70" i="45"/>
  <c r="AW70" i="45" s="1"/>
  <c r="AV33" i="45"/>
  <c r="AW33" i="45" s="1"/>
  <c r="AV78" i="45"/>
  <c r="AW78" i="45" s="1"/>
  <c r="AV11" i="45"/>
  <c r="AW11" i="45" s="1"/>
  <c r="AV29" i="45"/>
  <c r="AV87" i="45"/>
  <c r="AW87" i="45" s="1"/>
  <c r="AV17" i="45"/>
  <c r="AV15" i="45"/>
  <c r="AW15" i="45" s="1"/>
  <c r="AV49" i="45"/>
  <c r="AV100" i="45"/>
  <c r="AW100" i="45" s="1"/>
  <c r="AV40" i="45"/>
  <c r="AV88" i="45"/>
  <c r="AW88" i="45" s="1"/>
  <c r="AV97" i="45"/>
  <c r="AV48" i="45"/>
  <c r="AV94" i="45"/>
  <c r="AV79" i="45"/>
  <c r="AW79" i="45" s="1"/>
  <c r="AV43" i="45"/>
  <c r="AV39" i="45"/>
  <c r="AW39" i="45" s="1"/>
  <c r="AV101" i="45"/>
  <c r="AV46" i="45"/>
  <c r="AW46" i="45" s="1"/>
  <c r="AV93" i="45"/>
  <c r="AV59" i="45"/>
  <c r="AV91" i="45"/>
  <c r="AV67" i="45"/>
  <c r="AW67" i="45" s="1"/>
  <c r="AV71" i="45"/>
  <c r="AV103" i="45"/>
  <c r="AW103" i="45" s="1"/>
  <c r="AV77" i="45"/>
  <c r="AV27" i="45"/>
  <c r="AW27" i="45" s="1"/>
  <c r="AV81" i="45"/>
  <c r="AV82" i="45"/>
  <c r="AW75" i="45"/>
  <c r="AX113" i="45"/>
  <c r="AX114" i="45"/>
  <c r="AX5" i="45"/>
  <c r="AX109" i="45"/>
  <c r="AX115" i="45"/>
  <c r="AX6" i="45"/>
  <c r="AX108" i="45"/>
  <c r="AX8" i="45"/>
  <c r="AX112" i="45"/>
  <c r="AX4" i="45"/>
  <c r="AX10" i="45"/>
  <c r="AX107" i="45"/>
  <c r="AW59" i="45" l="1"/>
  <c r="AW52" i="45"/>
  <c r="AX52" i="45" s="1"/>
  <c r="AW72" i="45"/>
  <c r="AX72" i="45" s="1"/>
  <c r="AW26" i="45"/>
  <c r="AX26" i="45" s="1"/>
  <c r="AW64" i="45"/>
  <c r="AX64" i="45" s="1"/>
  <c r="AW28" i="45"/>
  <c r="AX28" i="45" s="1"/>
  <c r="AW42" i="45"/>
  <c r="AX42" i="45" s="1"/>
  <c r="AW25" i="45"/>
  <c r="AX25" i="45" s="1"/>
  <c r="AW80" i="45"/>
  <c r="AX80" i="45" s="1"/>
  <c r="AW82" i="45"/>
  <c r="AX82" i="45" s="1"/>
  <c r="AW31" i="45"/>
  <c r="AX31" i="45" s="1"/>
  <c r="AW73" i="45"/>
  <c r="AX73" i="45" s="1"/>
  <c r="AW53" i="45"/>
  <c r="AX53" i="45" s="1"/>
  <c r="AW9" i="45"/>
  <c r="AX9" i="45" s="1"/>
  <c r="AW105" i="45"/>
  <c r="AX105" i="45" s="1"/>
  <c r="AW96" i="45"/>
  <c r="AX96" i="45" s="1"/>
  <c r="AW41" i="45"/>
  <c r="AX41" i="45" s="1"/>
  <c r="AW32" i="45"/>
  <c r="AX32" i="45" s="1"/>
  <c r="AW48" i="45"/>
  <c r="AX48" i="45" s="1"/>
  <c r="AW14" i="45"/>
  <c r="AX14" i="45" s="1"/>
  <c r="AW68" i="45"/>
  <c r="AX68" i="45" s="1"/>
  <c r="AW60" i="45"/>
  <c r="AX60" i="45" s="1"/>
  <c r="AW86" i="45"/>
  <c r="AX86" i="45" s="1"/>
  <c r="AW99" i="45"/>
  <c r="AW61" i="45"/>
  <c r="AW77" i="45"/>
  <c r="AX77" i="45" s="1"/>
  <c r="AW101" i="45"/>
  <c r="AX101" i="45" s="1"/>
  <c r="AW40" i="45"/>
  <c r="AW81" i="45"/>
  <c r="AX81" i="45" s="1"/>
  <c r="AW93" i="45"/>
  <c r="AX93" i="45" s="1"/>
  <c r="AW91" i="45"/>
  <c r="AX91" i="45" s="1"/>
  <c r="AW94" i="45"/>
  <c r="AW17" i="45"/>
  <c r="AW29" i="45"/>
  <c r="AX29" i="45" s="1"/>
  <c r="AW97" i="45"/>
  <c r="AW69" i="45"/>
  <c r="AW71" i="45"/>
  <c r="AX71" i="45" s="1"/>
  <c r="AW43" i="45"/>
  <c r="AX43" i="45" s="1"/>
  <c r="AW49" i="45"/>
  <c r="AW45" i="45"/>
  <c r="AX45" i="45" s="1"/>
  <c r="AW54" i="45"/>
  <c r="AW44" i="45"/>
  <c r="AX27" i="45"/>
  <c r="AX103" i="45"/>
  <c r="AX67" i="45"/>
  <c r="AX59" i="45"/>
  <c r="AX46" i="45"/>
  <c r="AX39" i="45"/>
  <c r="AX79" i="45"/>
  <c r="AX88" i="45"/>
  <c r="AX100" i="45"/>
  <c r="AX15" i="45"/>
  <c r="AX74" i="45"/>
  <c r="AX76" i="45"/>
  <c r="AX21" i="45"/>
  <c r="AX104" i="45"/>
  <c r="AX95" i="45"/>
  <c r="AX83" i="45"/>
  <c r="AX20" i="45"/>
  <c r="AX102" i="45"/>
  <c r="AX24" i="45"/>
  <c r="AX65" i="45"/>
  <c r="AX35" i="45"/>
  <c r="AX90" i="45"/>
  <c r="AX57" i="45"/>
  <c r="AX50" i="45"/>
  <c r="AX63" i="45"/>
  <c r="AX89" i="45"/>
  <c r="AX19" i="45"/>
  <c r="AX36" i="45"/>
  <c r="AX66" i="45"/>
  <c r="AX22" i="45"/>
  <c r="AX55" i="45"/>
  <c r="AX18" i="45"/>
  <c r="AX38" i="45"/>
  <c r="AX62" i="45"/>
  <c r="AX78" i="45"/>
  <c r="AX70" i="45"/>
  <c r="AX56" i="45"/>
  <c r="AX84" i="45"/>
  <c r="AX37" i="45"/>
  <c r="AX98" i="45"/>
  <c r="AX34" i="45"/>
  <c r="AX47" i="45"/>
  <c r="AX13" i="45"/>
  <c r="AX85" i="45"/>
  <c r="AX30" i="45"/>
  <c r="AX92" i="45"/>
  <c r="AX12" i="45"/>
  <c r="AX75" i="45"/>
  <c r="AX87" i="45"/>
  <c r="AX11" i="45"/>
  <c r="AX51" i="45"/>
  <c r="AX33" i="45"/>
  <c r="AX58" i="45"/>
  <c r="AX23" i="45"/>
  <c r="AX16" i="45"/>
  <c r="AX61" i="45" l="1"/>
  <c r="AX99" i="45"/>
  <c r="AX69" i="45"/>
  <c r="AX17" i="45"/>
  <c r="AX54" i="45"/>
  <c r="AX97" i="45"/>
  <c r="AX40" i="45"/>
  <c r="AX44" i="45"/>
  <c r="AX49" i="45"/>
  <c r="AX94" i="45"/>
</calcChain>
</file>

<file path=xl/sharedStrings.xml><?xml version="1.0" encoding="utf-8"?>
<sst xmlns="http://schemas.openxmlformats.org/spreadsheetml/2006/main" count="782" uniqueCount="103">
  <si>
    <t>Year</t>
  </si>
  <si>
    <t>2N</t>
  </si>
  <si>
    <t>2SW</t>
  </si>
  <si>
    <t>5N</t>
  </si>
  <si>
    <t>5Mid</t>
  </si>
  <si>
    <t>5S</t>
  </si>
  <si>
    <t>6A</t>
  </si>
  <si>
    <t>6B</t>
  </si>
  <si>
    <t>6C</t>
  </si>
  <si>
    <t>6D</t>
  </si>
  <si>
    <t>6E</t>
  </si>
  <si>
    <t>12A</t>
  </si>
  <si>
    <t>12B</t>
  </si>
  <si>
    <t>12C</t>
  </si>
  <si>
    <t>Animal Units in Each Month</t>
  </si>
  <si>
    <t>Animal Unit Months (AUM)</t>
  </si>
  <si>
    <t>ha/AUY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</si>
  <si>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</si>
  <si>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</si>
  <si>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</si>
  <si>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</si>
  <si>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</si>
  <si>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</si>
  <si>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</si>
  <si>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</si>
  <si>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</si>
  <si>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</si>
  <si>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</si>
  <si>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</si>
  <si>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Pasture 2N</t>
  </si>
  <si>
    <t>Pasture 5Mid</t>
  </si>
  <si>
    <t>Pasture 5N</t>
  </si>
  <si>
    <t>Pasture 5S</t>
  </si>
  <si>
    <t>Pasture 6A</t>
  </si>
  <si>
    <t>Pasture 6B</t>
  </si>
  <si>
    <t>Pasture 6C</t>
  </si>
  <si>
    <t>Pasture 6D</t>
  </si>
  <si>
    <t>Pasture 6E</t>
  </si>
  <si>
    <t>Pasture 8</t>
  </si>
  <si>
    <t>Pasture 12A</t>
  </si>
  <si>
    <t>Pasture 12B</t>
  </si>
  <si>
    <t>Pasture 12C</t>
  </si>
  <si>
    <t>HA</t>
  </si>
  <si>
    <t>Total HA</t>
  </si>
  <si>
    <t>UA Cell</t>
  </si>
  <si>
    <t>UA Cell A</t>
  </si>
  <si>
    <t>UA Cell B</t>
  </si>
  <si>
    <t>UA Cell C</t>
  </si>
  <si>
    <t>UA Cell D</t>
  </si>
  <si>
    <t>UA Cell E</t>
  </si>
  <si>
    <t>UA Cell G</t>
  </si>
  <si>
    <t>UA Cell H</t>
  </si>
  <si>
    <t>Pasture 1</t>
  </si>
  <si>
    <t>Hectares (ha)</t>
  </si>
  <si>
    <t>AUY/ha</t>
  </si>
  <si>
    <t>No. of Months</t>
  </si>
  <si>
    <t>Animal Units/ Year (AUY)</t>
  </si>
  <si>
    <t>Pasture 2SW</t>
  </si>
  <si>
    <t>11A</t>
  </si>
  <si>
    <t>11B</t>
  </si>
  <si>
    <t>11C</t>
  </si>
  <si>
    <t>12D</t>
  </si>
  <si>
    <t>UA CELL</t>
  </si>
  <si>
    <t>UA CELL A</t>
  </si>
  <si>
    <t>UA CELL B</t>
  </si>
  <si>
    <t>UA CELL C</t>
  </si>
  <si>
    <t>UA CELL D</t>
  </si>
  <si>
    <t>UA CELL E</t>
  </si>
  <si>
    <t>UA CELL F</t>
  </si>
  <si>
    <t>UA CELL G</t>
  </si>
  <si>
    <t>UA CELL H</t>
  </si>
  <si>
    <t>Pasture 9</t>
  </si>
  <si>
    <t>Pasture 10</t>
  </si>
  <si>
    <t>Pasture 11A</t>
  </si>
  <si>
    <t>Pasture 11B</t>
  </si>
  <si>
    <t>Pasture 11C</t>
  </si>
  <si>
    <t>Pasture 12D</t>
  </si>
  <si>
    <t>Pasture 15</t>
  </si>
  <si>
    <t>Pasture 140</t>
  </si>
  <si>
    <t>Pasture UA Cell A</t>
  </si>
  <si>
    <t>Pasture UA Cell B</t>
  </si>
  <si>
    <t>Pasture UA Cell C</t>
  </si>
  <si>
    <t>Pasture UA Cell D</t>
  </si>
  <si>
    <t>Pasture UA Cell E</t>
  </si>
  <si>
    <t>Pasture UA Cell F</t>
  </si>
  <si>
    <t>Pasture UA Cell G</t>
  </si>
  <si>
    <t>Pasture UA Cell H</t>
  </si>
  <si>
    <t>Pasture 3</t>
  </si>
  <si>
    <t>Pasture 4</t>
  </si>
  <si>
    <t>Total AUY</t>
  </si>
  <si>
    <t>Animal Unit Year (AUY)</t>
  </si>
  <si>
    <t>Percent of HA</t>
  </si>
  <si>
    <t>Hectares (HA)</t>
  </si>
  <si>
    <t>HA/AUY</t>
  </si>
  <si>
    <t>AUY/HA</t>
  </si>
  <si>
    <t>Total ha</t>
  </si>
  <si>
    <t>Total AUY/ha</t>
  </si>
  <si>
    <t>Total AUY/acre</t>
  </si>
  <si>
    <t>Total AUY/100 acres</t>
  </si>
  <si>
    <t>12E</t>
  </si>
  <si>
    <t>Pasture 12E</t>
  </si>
  <si>
    <t xml:space="preserve"> </t>
  </si>
  <si>
    <t>UA Cell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</si>
</sst>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left" wrapText="1"/>
    </xf>
    <xf numFmtId="2" fontId="2" fillId="0" borderId="1" xfId="1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165" fontId="2" fillId="0" borderId="1" xfId="1" applyNumberFormat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0" fontId="2" fillId="0" borderId="0" xfId="1" applyFont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164" fontId="2" fillId="0" borderId="1" xfId="1" applyNumberFormat="1" applyFont="1" applyBorder="1" applyAlignment="1">
      <alignment wrapText="1"/>
    </xf>
    <xf numFmtId="2" fontId="2" fillId="0" borderId="0" xfId="1" applyNumberFormat="1" applyFont="1" applyAlignment="1">
      <alignment wrapText="1"/>
    </xf>
    <xf numFmtId="164" fontId="2" fillId="0" borderId="0" xfId="1" applyNumberFormat="1" applyFont="1" applyAlignment="1">
      <alignment wrapText="1"/>
    </xf>
    <xf numFmtId="165" fontId="2" fillId="0" borderId="0" xfId="1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4" fontId="2" fillId="0" borderId="0" xfId="1" applyNumberFormat="1" applyFont="1" applyAlignment="1">
      <alignment horizontal="left" wrapText="1"/>
    </xf>
    <xf numFmtId="165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 wrapText="1"/>
    </xf>
    <xf numFmtId="2" fontId="2" fillId="0" borderId="1" xfId="2" applyNumberFormat="1" applyFont="1" applyBorder="1" applyAlignment="1">
      <alignment horizontal="left" wrapText="1"/>
    </xf>
    <xf numFmtId="164" fontId="2" fillId="0" borderId="1" xfId="2" applyNumberFormat="1" applyFont="1" applyBorder="1" applyAlignment="1">
      <alignment horizontal="left" wrapText="1"/>
    </xf>
    <xf numFmtId="165" fontId="2" fillId="0" borderId="1" xfId="2" applyNumberFormat="1" applyFont="1" applyBorder="1" applyAlignment="1">
      <alignment horizontal="left" wrapText="1"/>
    </xf>
    <xf numFmtId="164" fontId="2" fillId="0" borderId="0" xfId="2" applyNumberFormat="1" applyFont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2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6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1" fillId="0" borderId="0" xfId="1" applyAlignment="1">
      <alignment horizontal="right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1" xfId="2" applyFont="1" applyBorder="1" applyAlignment="1">
      <alignment horizontal="right" wrapText="1"/>
    </xf>
    <xf numFmtId="2" fontId="2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/>
    </xf>
    <xf numFmtId="165" fontId="2" fillId="0" borderId="1" xfId="2" applyNumberFormat="1" applyFont="1" applyBorder="1" applyAlignment="1">
      <alignment horizontal="right"/>
    </xf>
    <xf numFmtId="0" fontId="2" fillId="0" borderId="0" xfId="2" applyFont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0" fontId="2" fillId="0" borderId="5" xfId="2" applyFont="1" applyBorder="1" applyAlignment="1">
      <alignment horizontal="right" wrapText="1"/>
    </xf>
    <xf numFmtId="164" fontId="2" fillId="0" borderId="5" xfId="2" applyNumberFormat="1" applyFont="1" applyBorder="1" applyAlignment="1">
      <alignment horizontal="right" wrapText="1"/>
    </xf>
    <xf numFmtId="0" fontId="2" fillId="0" borderId="6" xfId="2" applyFont="1" applyBorder="1" applyAlignment="1">
      <alignment horizontal="right" wrapText="1"/>
    </xf>
    <xf numFmtId="0" fontId="2" fillId="0" borderId="2" xfId="2" applyFont="1" applyBorder="1" applyAlignment="1">
      <alignment horizontal="right" wrapText="1"/>
    </xf>
    <xf numFmtId="164" fontId="2" fillId="0" borderId="2" xfId="2" applyNumberFormat="1" applyFont="1" applyBorder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1" xfId="2" applyFont="1" applyBorder="1" applyAlignment="1">
      <alignment horizontal="right"/>
    </xf>
    <xf numFmtId="165" fontId="2" fillId="0" borderId="1" xfId="2" applyNumberFormat="1" applyFont="1" applyBorder="1" applyAlignment="1">
      <alignment horizontal="right" wrapText="1"/>
    </xf>
    <xf numFmtId="2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3" fillId="0" borderId="0" xfId="0" applyFont="1" applyAlignment="1">
      <alignment horizontal="left"/>
    </xf>
    <xf numFmtId="164" fontId="2" fillId="0" borderId="0" xfId="2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5" fontId="2" fillId="0" borderId="0" xfId="1" applyNumberFormat="1" applyFont="1" applyAlignment="1">
      <alignment horizontal="left" wrapText="1"/>
    </xf>
    <xf numFmtId="165" fontId="2" fillId="0" borderId="6" xfId="1" applyNumberFormat="1" applyFont="1" applyBorder="1" applyAlignment="1">
      <alignment horizontal="left" wrapText="1"/>
    </xf>
    <xf numFmtId="1" fontId="2" fillId="0" borderId="0" xfId="0" applyNumberFormat="1" applyFont="1" applyAlignment="1">
      <alignment horizontal="right"/>
    </xf>
    <xf numFmtId="1" fontId="2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  <xf numFmtId="166" fontId="5" fillId="0" borderId="3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/>
    <xf numFmtId="164" fontId="5" fillId="0" borderId="5" xfId="0" applyNumberFormat="1" applyFont="1" applyBorder="1"/>
    <xf numFmtId="2" fontId="5" fillId="0" borderId="3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Santa Rita Experimental Range</a:t>
            </a:r>
          </a:p>
          <a:p>
            <a:pPr>
              <a:defRPr/>
            </a:pPr>
            <a:r>
              <a:rPr lang="en-US"/>
              <a:t>AUY per 100 Acres</a:t>
            </a:r>
            <a:r>
              <a:rPr lang="en-US" baseline="0"/>
              <a:t> Since 1919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'Total AUY per ha'!$AS$14:$AS$120</c:f>
              <c:numCache>
                <c:formatCode>General</c:formatCode>
                <c:ptCount val="107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  <c:pt idx="89">
                  <c:v>2008</c:v>
                </c:pt>
                <c:pt idx="90">
                  <c:v>2009</c:v>
                </c:pt>
                <c:pt idx="91">
                  <c:v>2010</c:v>
                </c:pt>
                <c:pt idx="92">
                  <c:v>2011</c:v>
                </c:pt>
                <c:pt idx="93">
                  <c:v>2012</c:v>
                </c:pt>
                <c:pt idx="94">
                  <c:v>2013</c:v>
                </c:pt>
                <c:pt idx="95">
                  <c:v>2014</c:v>
                </c:pt>
                <c:pt idx="96">
                  <c:v>2015</c:v>
                </c:pt>
                <c:pt idx="97">
                  <c:v>2016</c:v>
                </c:pt>
                <c:pt idx="98">
                  <c:v>2017</c:v>
                </c:pt>
                <c:pt idx="99">
                  <c:v>2018</c:v>
                </c:pt>
                <c:pt idx="100">
                  <c:v>2019</c:v>
                </c:pt>
                <c:pt idx="101">
                  <c:v>2020</c:v>
                </c:pt>
                <c:pt idx="102">
                  <c:v>2021</c:v>
                </c:pt>
                <c:pt idx="103">
                  <c:v>2022</c:v>
                </c:pt>
                <c:pt idx="104">
                  <c:v>2023</c:v>
                </c:pt>
                <c:pt idx="105">
                  <c:v>2024</c:v>
                </c:pt>
                <c:pt idx="106">
                  <c:v>2025</c:v>
                </c:pt>
              </c:numCache>
            </c:numRef>
          </c:xVal>
          <c:yVal>
            <c:numRef>
              <c:f>'Total AUY per ha'!$AX$14:$AX$120</c:f>
              <c:numCache>
                <c:formatCode>0.0</c:formatCode>
                <c:ptCount val="107"/>
                <c:pt idx="0">
                  <c:v>2.3436775974471504</c:v>
                </c:pt>
                <c:pt idx="1">
                  <c:v>3.8049618079181697</c:v>
                </c:pt>
                <c:pt idx="2">
                  <c:v>3.1603972498645385</c:v>
                </c:pt>
                <c:pt idx="3">
                  <c:v>3.0637117120932023</c:v>
                </c:pt>
                <c:pt idx="4">
                  <c:v>3.4016738872607513</c:v>
                </c:pt>
                <c:pt idx="5">
                  <c:v>2.5406582293735207</c:v>
                </c:pt>
                <c:pt idx="6">
                  <c:v>2.3347059185800321</c:v>
                </c:pt>
                <c:pt idx="7">
                  <c:v>3.5139596865548697</c:v>
                </c:pt>
                <c:pt idx="8">
                  <c:v>2.9544573515347916</c:v>
                </c:pt>
                <c:pt idx="9">
                  <c:v>2.9318584571433952</c:v>
                </c:pt>
                <c:pt idx="10">
                  <c:v>2.3474087670629582</c:v>
                </c:pt>
                <c:pt idx="11">
                  <c:v>2.2051611757903014</c:v>
                </c:pt>
                <c:pt idx="12">
                  <c:v>2.2416769280910387</c:v>
                </c:pt>
                <c:pt idx="13">
                  <c:v>2.3314985823791243</c:v>
                </c:pt>
                <c:pt idx="14">
                  <c:v>2.2781203749235268</c:v>
                </c:pt>
                <c:pt idx="15">
                  <c:v>2.1192015013853713</c:v>
                </c:pt>
                <c:pt idx="16">
                  <c:v>2.289263616623237</c:v>
                </c:pt>
                <c:pt idx="17">
                  <c:v>2.1001147479323627</c:v>
                </c:pt>
                <c:pt idx="18">
                  <c:v>2.0169341191150223</c:v>
                </c:pt>
                <c:pt idx="19">
                  <c:v>1.8567130201194881</c:v>
                </c:pt>
                <c:pt idx="20">
                  <c:v>1.7599464951748873</c:v>
                </c:pt>
                <c:pt idx="21">
                  <c:v>1.4192859727624991</c:v>
                </c:pt>
                <c:pt idx="22">
                  <c:v>1.4066398916294929</c:v>
                </c:pt>
                <c:pt idx="23">
                  <c:v>1.4424835364647071</c:v>
                </c:pt>
                <c:pt idx="24">
                  <c:v>1.3401161547203273</c:v>
                </c:pt>
                <c:pt idx="25">
                  <c:v>1.2622438921372239</c:v>
                </c:pt>
                <c:pt idx="26">
                  <c:v>1.2732757993203039</c:v>
                </c:pt>
                <c:pt idx="27">
                  <c:v>1.3661915198305006</c:v>
                </c:pt>
                <c:pt idx="28">
                  <c:v>1.3343701242607393</c:v>
                </c:pt>
                <c:pt idx="29">
                  <c:v>1.200393099930287</c:v>
                </c:pt>
                <c:pt idx="30">
                  <c:v>1.1074267863925311</c:v>
                </c:pt>
                <c:pt idx="31">
                  <c:v>1.1767815343239862</c:v>
                </c:pt>
                <c:pt idx="32">
                  <c:v>1.3479517979619999</c:v>
                </c:pt>
                <c:pt idx="33">
                  <c:v>1.4288887003497726</c:v>
                </c:pt>
                <c:pt idx="34">
                  <c:v>1.311772037970196</c:v>
                </c:pt>
                <c:pt idx="35">
                  <c:v>1.20677419031251</c:v>
                </c:pt>
                <c:pt idx="36">
                  <c:v>1.5368776003663274</c:v>
                </c:pt>
                <c:pt idx="37">
                  <c:v>1.4419535635544676</c:v>
                </c:pt>
                <c:pt idx="38">
                  <c:v>1.0765189445968153</c:v>
                </c:pt>
                <c:pt idx="39">
                  <c:v>1.3449505022731356</c:v>
                </c:pt>
                <c:pt idx="40">
                  <c:v>1.5868327019928419</c:v>
                </c:pt>
                <c:pt idx="41">
                  <c:v>1.5690969837131925</c:v>
                </c:pt>
                <c:pt idx="42">
                  <c:v>1.1636342202739605</c:v>
                </c:pt>
                <c:pt idx="43">
                  <c:v>1.2493555008094055</c:v>
                </c:pt>
                <c:pt idx="44">
                  <c:v>1.0132899999114098</c:v>
                </c:pt>
                <c:pt idx="45">
                  <c:v>1.0435120675097258</c:v>
                </c:pt>
                <c:pt idx="46">
                  <c:v>1.0379394059136127</c:v>
                </c:pt>
                <c:pt idx="47">
                  <c:v>0.97947854558153358</c:v>
                </c:pt>
                <c:pt idx="48">
                  <c:v>1.1121556754132031</c:v>
                </c:pt>
                <c:pt idx="49">
                  <c:v>1.1125011887721401</c:v>
                </c:pt>
                <c:pt idx="50">
                  <c:v>0.71970432666502093</c:v>
                </c:pt>
                <c:pt idx="51">
                  <c:v>0.69033569115540638</c:v>
                </c:pt>
                <c:pt idx="52">
                  <c:v>0.83685063101248836</c:v>
                </c:pt>
                <c:pt idx="53">
                  <c:v>1.1440292827751082</c:v>
                </c:pt>
                <c:pt idx="54">
                  <c:v>1.0648376209068302</c:v>
                </c:pt>
                <c:pt idx="55">
                  <c:v>1.0701758023024013</c:v>
                </c:pt>
                <c:pt idx="56">
                  <c:v>1.090474712139929</c:v>
                </c:pt>
                <c:pt idx="57">
                  <c:v>1.0843591256867506</c:v>
                </c:pt>
                <c:pt idx="58">
                  <c:v>0.91430750082778889</c:v>
                </c:pt>
                <c:pt idx="59">
                  <c:v>0.91430750082778889</c:v>
                </c:pt>
                <c:pt idx="60">
                  <c:v>0.91430750082778889</c:v>
                </c:pt>
                <c:pt idx="61">
                  <c:v>0.9108520680960136</c:v>
                </c:pt>
                <c:pt idx="62">
                  <c:v>0.89357490443713627</c:v>
                </c:pt>
                <c:pt idx="63">
                  <c:v>0.93222464986832954</c:v>
                </c:pt>
                <c:pt idx="64">
                  <c:v>1.2613372230018642</c:v>
                </c:pt>
                <c:pt idx="65">
                  <c:v>1.381017603107211</c:v>
                </c:pt>
                <c:pt idx="66">
                  <c:v>1.3309181403975423</c:v>
                </c:pt>
                <c:pt idx="67">
                  <c:v>1.2728718663615126</c:v>
                </c:pt>
                <c:pt idx="68">
                  <c:v>1.2587230870652306</c:v>
                </c:pt>
                <c:pt idx="69">
                  <c:v>0.74299230766118241</c:v>
                </c:pt>
                <c:pt idx="70">
                  <c:v>1.2057731376841496</c:v>
                </c:pt>
                <c:pt idx="71">
                  <c:v>1.2428128253769817</c:v>
                </c:pt>
                <c:pt idx="72">
                  <c:v>1.3086331876884401</c:v>
                </c:pt>
                <c:pt idx="73">
                  <c:v>1.3878594820612344</c:v>
                </c:pt>
                <c:pt idx="74">
                  <c:v>1.4256759579404426</c:v>
                </c:pt>
                <c:pt idx="75">
                  <c:v>1.3320417417388408</c:v>
                </c:pt>
                <c:pt idx="76">
                  <c:v>1.3004445126922115</c:v>
                </c:pt>
                <c:pt idx="77">
                  <c:v>1.3285513726764309</c:v>
                </c:pt>
                <c:pt idx="78">
                  <c:v>1.3506124119454817</c:v>
                </c:pt>
                <c:pt idx="79">
                  <c:v>1.2014369428082439</c:v>
                </c:pt>
                <c:pt idx="80">
                  <c:v>1.2446088591225413</c:v>
                </c:pt>
                <c:pt idx="81">
                  <c:v>1.2833754778537467</c:v>
                </c:pt>
                <c:pt idx="82">
                  <c:v>1.3463798711303543</c:v>
                </c:pt>
                <c:pt idx="83">
                  <c:v>1.3349779244447055</c:v>
                </c:pt>
                <c:pt idx="84">
                  <c:v>1.2508021892540639</c:v>
                </c:pt>
                <c:pt idx="85">
                  <c:v>1.3484529523459268</c:v>
                </c:pt>
                <c:pt idx="86">
                  <c:v>1.1782875359010176</c:v>
                </c:pt>
                <c:pt idx="87">
                  <c:v>0.6653673054078042</c:v>
                </c:pt>
                <c:pt idx="88">
                  <c:v>0.88745563231726643</c:v>
                </c:pt>
                <c:pt idx="89">
                  <c:v>0.83124507837013584</c:v>
                </c:pt>
                <c:pt idx="90">
                  <c:v>0.95397895209862904</c:v>
                </c:pt>
                <c:pt idx="91">
                  <c:v>0.7125657706847347</c:v>
                </c:pt>
                <c:pt idx="92">
                  <c:v>0.88851049377068614</c:v>
                </c:pt>
                <c:pt idx="93">
                  <c:v>0.84518030784586884</c:v>
                </c:pt>
                <c:pt idx="94">
                  <c:v>0.9184445744055999</c:v>
                </c:pt>
                <c:pt idx="95">
                  <c:v>0.67819681962588263</c:v>
                </c:pt>
                <c:pt idx="96">
                  <c:v>0.69270953450044348</c:v>
                </c:pt>
                <c:pt idx="97">
                  <c:v>0.78670981800184736</c:v>
                </c:pt>
                <c:pt idx="98">
                  <c:v>0.77981978644156902</c:v>
                </c:pt>
                <c:pt idx="99">
                  <c:v>0.71585411586160053</c:v>
                </c:pt>
                <c:pt idx="100">
                  <c:v>0.79272133255946331</c:v>
                </c:pt>
                <c:pt idx="101">
                  <c:v>0.70921301759231059</c:v>
                </c:pt>
                <c:pt idx="102">
                  <c:v>0.64322152719975778</c:v>
                </c:pt>
                <c:pt idx="103">
                  <c:v>0.59176035241225167</c:v>
                </c:pt>
                <c:pt idx="104">
                  <c:v>0.77671675183303035</c:v>
                </c:pt>
                <c:pt idx="105">
                  <c:v>0.8284782666983993</c:v>
                </c:pt>
                <c:pt idx="106">
                  <c:v>0.56553776787611576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E-4180-9D58-76AD2C7E7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25544896"/>
        <c:axId val="-1525554144"/>
      </c:scatterChart>
      <c:valAx>
        <c:axId val="-152554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1525554144"/>
        <c:crosses val="autoZero"/>
        <c:crossBetween val="midCat"/>
      </c:valAx>
      <c:valAx>
        <c:axId val="-1525554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AUY/100</a:t>
                </a:r>
                <a:r>
                  <a:rPr lang="en-US" baseline="0"/>
                  <a:t> acres</a:t>
                </a:r>
                <a:endParaRPr lang="en-US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-15255448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600023</xdr:colOff>
      <xdr:row>1</xdr:row>
      <xdr:rowOff>190091</xdr:rowOff>
    </xdr:from>
    <xdr:to>
      <xdr:col>65</xdr:col>
      <xdr:colOff>33618</xdr:colOff>
      <xdr:row>29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X120"/>
  <sheetViews>
    <sheetView tabSelected="1" zoomScale="80" zoomScaleNormal="80" workbookViewId="0">
      <pane xSplit="1" ySplit="2" topLeftCell="AS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109375" defaultRowHeight="14.4" x14ac:dyDescent="0.3"/>
  <cols>
    <col min="1" max="1" width="9.109375" style="1"/>
    <col min="2" max="7" width="9.109375" style="2" customWidth="1"/>
    <col min="8" max="8" width="10.5546875" style="2" customWidth="1"/>
    <col min="9" max="12" width="12.6640625" style="2" customWidth="1"/>
    <col min="13" max="14" width="12.5546875" style="2" customWidth="1"/>
    <col min="15" max="16" width="12.6640625" style="2" customWidth="1"/>
    <col min="17" max="17" width="10.6640625" style="2" customWidth="1"/>
    <col min="18" max="18" width="10.5546875" style="2" customWidth="1"/>
    <col min="19" max="19" width="11.33203125" style="2" customWidth="1"/>
    <col min="20" max="20" width="11.88671875" style="2" customWidth="1"/>
    <col min="21" max="21" width="9.109375" style="2" customWidth="1"/>
    <col min="22" max="22" width="10.44140625" style="2" customWidth="1"/>
    <col min="23" max="28" width="9.109375" style="2" customWidth="1"/>
    <col min="29" max="29" width="8.88671875" style="2" customWidth="1"/>
    <col min="30" max="30" width="9.6640625" style="2" customWidth="1"/>
    <col min="31" max="31" width="8.88671875" style="2" customWidth="1"/>
    <col min="32" max="32" width="11.5546875" style="2" bestFit="1" customWidth="1"/>
    <col min="33" max="34" width="9.6640625" style="2" bestFit="1" customWidth="1"/>
    <col min="35" max="35" width="9.109375" style="2"/>
    <col min="36" max="36" width="9.6640625" style="2" bestFit="1" customWidth="1"/>
    <col min="37" max="38" width="10.88671875" style="2" bestFit="1" customWidth="1"/>
    <col min="39" max="39" width="9.6640625" style="2" bestFit="1" customWidth="1"/>
    <col min="40" max="41" width="9.109375" style="2"/>
    <col min="42" max="42" width="9.6640625" style="2" bestFit="1" customWidth="1"/>
    <col min="43" max="43" width="9.6640625" style="2" customWidth="1"/>
    <col min="44" max="45" width="9.109375" style="2"/>
    <col min="46" max="46" width="17" style="2" bestFit="1" customWidth="1"/>
    <col min="47" max="47" width="25.33203125" style="2" bestFit="1" customWidth="1"/>
    <col min="48" max="48" width="25.33203125" style="2" customWidth="1"/>
    <col min="49" max="49" width="17.88671875" style="2" bestFit="1" customWidth="1"/>
    <col min="50" max="50" width="21.88671875" style="2" bestFit="1" customWidth="1"/>
    <col min="51" max="16384" width="9.109375" style="2"/>
  </cols>
  <sheetData>
    <row r="1" spans="1:50" ht="15" thickBot="1" x14ac:dyDescent="0.35">
      <c r="A1" s="122" t="s">
        <v>90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S1" s="123"/>
      <c r="AT1" s="123"/>
      <c r="AU1" s="123"/>
      <c r="AV1" s="123"/>
      <c r="AW1" s="123"/>
      <c r="AX1" s="123"/>
    </row>
    <row r="2" spans="1:50" s="1" customFormat="1" x14ac:dyDescent="0.3">
      <c r="A2" s="101" t="s">
        <v>0</v>
      </c>
      <c r="B2" s="101">
        <v>1</v>
      </c>
      <c r="C2" s="101">
        <v>2</v>
      </c>
      <c r="D2" s="101" t="s">
        <v>1</v>
      </c>
      <c r="E2" s="101" t="s">
        <v>2</v>
      </c>
      <c r="F2" s="101">
        <v>21</v>
      </c>
      <c r="G2" s="101">
        <v>22</v>
      </c>
      <c r="H2" s="101" t="s">
        <v>62</v>
      </c>
      <c r="I2" s="101" t="s">
        <v>63</v>
      </c>
      <c r="J2" s="101" t="s">
        <v>64</v>
      </c>
      <c r="K2" s="101" t="s">
        <v>65</v>
      </c>
      <c r="L2" s="101" t="s">
        <v>66</v>
      </c>
      <c r="M2" s="101" t="s">
        <v>67</v>
      </c>
      <c r="N2" s="101" t="s">
        <v>68</v>
      </c>
      <c r="O2" s="101" t="s">
        <v>69</v>
      </c>
      <c r="P2" s="101" t="s">
        <v>70</v>
      </c>
      <c r="Q2" s="101">
        <v>3</v>
      </c>
      <c r="R2" s="101">
        <v>4</v>
      </c>
      <c r="S2" s="101">
        <v>5</v>
      </c>
      <c r="T2" s="101" t="s">
        <v>3</v>
      </c>
      <c r="U2" s="101" t="s">
        <v>4</v>
      </c>
      <c r="V2" s="102" t="s">
        <v>5</v>
      </c>
      <c r="W2" s="101">
        <v>6</v>
      </c>
      <c r="X2" s="101" t="s">
        <v>6</v>
      </c>
      <c r="Y2" s="101" t="s">
        <v>7</v>
      </c>
      <c r="Z2" s="101" t="s">
        <v>8</v>
      </c>
      <c r="AA2" s="101" t="s">
        <v>9</v>
      </c>
      <c r="AB2" s="101" t="s">
        <v>10</v>
      </c>
      <c r="AC2" s="103">
        <v>8</v>
      </c>
      <c r="AD2" s="103">
        <v>9</v>
      </c>
      <c r="AE2" s="103">
        <v>10</v>
      </c>
      <c r="AF2" s="103">
        <v>11</v>
      </c>
      <c r="AG2" s="103" t="s">
        <v>58</v>
      </c>
      <c r="AH2" s="103" t="s">
        <v>59</v>
      </c>
      <c r="AI2" s="103" t="s">
        <v>60</v>
      </c>
      <c r="AJ2" s="101">
        <v>12</v>
      </c>
      <c r="AK2" s="101" t="s">
        <v>11</v>
      </c>
      <c r="AL2" s="101" t="s">
        <v>12</v>
      </c>
      <c r="AM2" s="101" t="s">
        <v>13</v>
      </c>
      <c r="AN2" s="101" t="s">
        <v>61</v>
      </c>
      <c r="AO2" s="101" t="s">
        <v>99</v>
      </c>
      <c r="AP2" s="101">
        <v>15</v>
      </c>
      <c r="AQ2" s="101">
        <v>140</v>
      </c>
      <c r="AS2" s="100" t="s">
        <v>0</v>
      </c>
      <c r="AT2" s="100" t="s">
        <v>89</v>
      </c>
      <c r="AU2" s="100" t="s">
        <v>95</v>
      </c>
      <c r="AV2" s="104" t="s">
        <v>96</v>
      </c>
      <c r="AW2" s="100" t="s">
        <v>97</v>
      </c>
      <c r="AX2" s="100" t="s">
        <v>98</v>
      </c>
    </row>
    <row r="3" spans="1:50" x14ac:dyDescent="0.3">
      <c r="A3" s="105">
        <v>1908</v>
      </c>
      <c r="B3" s="106">
        <f>'Pasture 1'!C3</f>
        <v>55.03279569892473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S3" s="107">
        <f>A3</f>
        <v>1908</v>
      </c>
      <c r="AT3" s="106">
        <f>SUM(B3:AQ3)</f>
        <v>55.03279569892473</v>
      </c>
      <c r="AU3" s="108">
        <f>'Percent Area'!AT2</f>
        <v>316.62</v>
      </c>
      <c r="AV3" s="109">
        <f>AT3/AU3</f>
        <v>0.17381339049625649</v>
      </c>
      <c r="AW3" s="110">
        <f>AV3/2.471</f>
        <v>7.0341315457813233E-2</v>
      </c>
      <c r="AX3" s="111">
        <f>AW3*100</f>
        <v>7.0341315457813236</v>
      </c>
    </row>
    <row r="4" spans="1:50" x14ac:dyDescent="0.3">
      <c r="A4" s="105">
        <v>1909</v>
      </c>
      <c r="B4" s="106">
        <f>'Pasture 1'!C4</f>
        <v>144.96570020481312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>
        <f>'Pasture 9'!C3</f>
        <v>55.524999999999999</v>
      </c>
      <c r="AE4" s="106">
        <f>'Pasture 10'!C3</f>
        <v>7.3083333333333336</v>
      </c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S4" s="107">
        <f t="shared" ref="AS4:AS67" si="0">A4</f>
        <v>1909</v>
      </c>
      <c r="AT4" s="106">
        <f t="shared" ref="AT4:AT67" si="1">SUM(B4:AQ4)</f>
        <v>207.79903353814646</v>
      </c>
      <c r="AU4" s="108">
        <f>'Percent Area'!AT3</f>
        <v>918.64</v>
      </c>
      <c r="AV4" s="109">
        <f t="shared" ref="AV4:AV67" si="2">AT4/AU4</f>
        <v>0.2262029016134138</v>
      </c>
      <c r="AW4" s="110">
        <f t="shared" ref="AW4:AW67" si="3">AV4/2.471</f>
        <v>9.1543060143024602E-2</v>
      </c>
      <c r="AX4" s="111">
        <f t="shared" ref="AX4:AX67" si="4">AW4*100</f>
        <v>9.1543060143024597</v>
      </c>
    </row>
    <row r="5" spans="1:50" x14ac:dyDescent="0.3">
      <c r="A5" s="105">
        <v>1910</v>
      </c>
      <c r="B5" s="106">
        <f>'Pasture 1'!C5</f>
        <v>161.61658346134155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>
        <f>'Pasture 9'!C4</f>
        <v>56.483333333333327</v>
      </c>
      <c r="AE5" s="106">
        <f>'Pasture 10'!C4</f>
        <v>38.516666666666666</v>
      </c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S5" s="107">
        <f t="shared" si="0"/>
        <v>1910</v>
      </c>
      <c r="AT5" s="106">
        <f t="shared" si="1"/>
        <v>256.61658346134152</v>
      </c>
      <c r="AU5" s="108">
        <f>'Percent Area'!AT4</f>
        <v>918.64</v>
      </c>
      <c r="AV5" s="109">
        <f t="shared" si="2"/>
        <v>0.27934401230225281</v>
      </c>
      <c r="AW5" s="110">
        <f t="shared" si="3"/>
        <v>0.1130489730077915</v>
      </c>
      <c r="AX5" s="111">
        <f t="shared" si="4"/>
        <v>11.30489730077915</v>
      </c>
    </row>
    <row r="6" spans="1:50" x14ac:dyDescent="0.3">
      <c r="A6" s="105">
        <v>1911</v>
      </c>
      <c r="B6" s="106">
        <f>'Pasture 1'!C6</f>
        <v>156.57580645161289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'Pasture 9'!C5</f>
        <v>49.158333333333331</v>
      </c>
      <c r="AE6" s="106">
        <f>'Pasture 10'!C5</f>
        <v>25.966666666666669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S6" s="107">
        <f t="shared" si="0"/>
        <v>1911</v>
      </c>
      <c r="AT6" s="106">
        <f t="shared" si="1"/>
        <v>231.70080645161289</v>
      </c>
      <c r="AU6" s="108">
        <f>'Percent Area'!AT5</f>
        <v>918.64</v>
      </c>
      <c r="AV6" s="109">
        <f t="shared" si="2"/>
        <v>0.25222155191545426</v>
      </c>
      <c r="AW6" s="110">
        <f t="shared" si="3"/>
        <v>0.10207266366469213</v>
      </c>
      <c r="AX6" s="111">
        <f t="shared" si="4"/>
        <v>10.207266366469213</v>
      </c>
    </row>
    <row r="7" spans="1:50" x14ac:dyDescent="0.3">
      <c r="A7" s="105">
        <v>1912</v>
      </c>
      <c r="B7" s="106">
        <f>'Pasture 1'!C7</f>
        <v>98.403225806451601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>
        <f>'Pasture 9'!C6</f>
        <v>64.616666666666674</v>
      </c>
      <c r="AE7" s="106">
        <f>'Pasture 10'!C6</f>
        <v>45.525000000000006</v>
      </c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S7" s="107">
        <f t="shared" si="0"/>
        <v>1912</v>
      </c>
      <c r="AT7" s="106">
        <f t="shared" si="1"/>
        <v>208.54489247311827</v>
      </c>
      <c r="AU7" s="108">
        <f>'Percent Area'!AT6</f>
        <v>918.64</v>
      </c>
      <c r="AV7" s="109">
        <f t="shared" si="2"/>
        <v>0.22701481807140803</v>
      </c>
      <c r="AW7" s="110">
        <f t="shared" si="3"/>
        <v>9.1871638232055047E-2</v>
      </c>
      <c r="AX7" s="111">
        <f t="shared" si="4"/>
        <v>9.1871638232055055</v>
      </c>
    </row>
    <row r="8" spans="1:50" x14ac:dyDescent="0.3">
      <c r="A8" s="105">
        <v>1913</v>
      </c>
      <c r="B8" s="106">
        <f>'Pasture 1'!C8</f>
        <v>164.74444444444444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>
        <f>'Pasture 9'!C7</f>
        <v>63.224999999999994</v>
      </c>
      <c r="AE8" s="106">
        <f>'Pasture 10'!C7</f>
        <v>67.458333333333329</v>
      </c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S8" s="107">
        <f t="shared" si="0"/>
        <v>1913</v>
      </c>
      <c r="AT8" s="106">
        <f t="shared" si="1"/>
        <v>295.42777777777775</v>
      </c>
      <c r="AU8" s="108">
        <f>'Percent Area'!AT7</f>
        <v>918.64</v>
      </c>
      <c r="AV8" s="109">
        <f t="shared" si="2"/>
        <v>0.32159254743727439</v>
      </c>
      <c r="AW8" s="110">
        <f t="shared" si="3"/>
        <v>0.13014672093778809</v>
      </c>
      <c r="AX8" s="111">
        <f t="shared" si="4"/>
        <v>13.01467209377881</v>
      </c>
    </row>
    <row r="9" spans="1:50" x14ac:dyDescent="0.3">
      <c r="A9" s="105">
        <v>1914</v>
      </c>
      <c r="B9" s="106">
        <f>'Pasture 1'!C9</f>
        <v>179.13968894009213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>
        <f>'Pasture 9'!C8</f>
        <v>80.291666666666671</v>
      </c>
      <c r="AE9" s="106">
        <f>'Pasture 10'!C8</f>
        <v>58.866666666666667</v>
      </c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S9" s="107">
        <f t="shared" si="0"/>
        <v>1914</v>
      </c>
      <c r="AT9" s="106">
        <f t="shared" si="1"/>
        <v>318.29802227342549</v>
      </c>
      <c r="AU9" s="108">
        <f>'Percent Area'!AT8</f>
        <v>918.64</v>
      </c>
      <c r="AV9" s="109">
        <f t="shared" si="2"/>
        <v>0.34648831127909246</v>
      </c>
      <c r="AW9" s="110">
        <f t="shared" si="3"/>
        <v>0.14022189853463879</v>
      </c>
      <c r="AX9" s="111">
        <f t="shared" si="4"/>
        <v>14.022189853463878</v>
      </c>
    </row>
    <row r="10" spans="1:50" x14ac:dyDescent="0.3">
      <c r="A10" s="105">
        <v>1915</v>
      </c>
      <c r="B10" s="106">
        <f>'Pasture 1'!C10</f>
        <v>105.2406490015361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>
        <f>'Pasture 8'!C3</f>
        <v>3.4499999999999997</v>
      </c>
      <c r="AD10" s="106">
        <f>'Pasture 9'!C9</f>
        <v>60.858333333333327</v>
      </c>
      <c r="AE10" s="106">
        <f>'Pasture 10'!C9</f>
        <v>43.241666666666667</v>
      </c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S10" s="107">
        <f t="shared" si="0"/>
        <v>1915</v>
      </c>
      <c r="AT10" s="106">
        <f t="shared" si="1"/>
        <v>212.79064900153611</v>
      </c>
      <c r="AU10" s="108">
        <f>'Percent Area'!AT9</f>
        <v>1248.6100000000001</v>
      </c>
      <c r="AV10" s="109">
        <f t="shared" si="2"/>
        <v>0.17042202849691745</v>
      </c>
      <c r="AW10" s="110">
        <f t="shared" si="3"/>
        <v>6.8968850059456674E-2</v>
      </c>
      <c r="AX10" s="111">
        <f t="shared" si="4"/>
        <v>6.8968850059456672</v>
      </c>
    </row>
    <row r="11" spans="1:50" x14ac:dyDescent="0.3">
      <c r="A11" s="105">
        <v>1916</v>
      </c>
      <c r="B11" s="106">
        <f>'Pasture 1'!C11</f>
        <v>85.366577060931903</v>
      </c>
      <c r="C11" s="106">
        <f>'Pasture 2N'!C3</f>
        <v>409.5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>
        <f>'Pasture 4'!C3</f>
        <v>1.2956989247311828</v>
      </c>
      <c r="S11" s="106"/>
      <c r="T11" s="106"/>
      <c r="U11" s="106"/>
      <c r="V11" s="106"/>
      <c r="W11" s="106">
        <f>'Pasture 6A'!C3</f>
        <v>322.24166666666667</v>
      </c>
      <c r="X11" s="106"/>
      <c r="Y11" s="106"/>
      <c r="Z11" s="106"/>
      <c r="AA11" s="106"/>
      <c r="AB11" s="106"/>
      <c r="AC11" s="106">
        <f>'Pasture 8'!C4</f>
        <v>6.1499999999999986</v>
      </c>
      <c r="AD11" s="106">
        <f>'Pasture 9'!C10</f>
        <v>59.966666666666647</v>
      </c>
      <c r="AE11" s="106">
        <f>'Pasture 10'!C10</f>
        <v>33.491666666666667</v>
      </c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S11" s="107">
        <f t="shared" si="0"/>
        <v>1916</v>
      </c>
      <c r="AT11" s="106">
        <f t="shared" si="1"/>
        <v>918.01227598566311</v>
      </c>
      <c r="AU11" s="108">
        <f>'Percent Area'!AT10</f>
        <v>8454.74</v>
      </c>
      <c r="AV11" s="109">
        <f t="shared" si="2"/>
        <v>0.10857959866130279</v>
      </c>
      <c r="AW11" s="110">
        <f t="shared" si="3"/>
        <v>4.3941561578835608E-2</v>
      </c>
      <c r="AX11" s="111">
        <f t="shared" si="4"/>
        <v>4.3941561578835611</v>
      </c>
    </row>
    <row r="12" spans="1:50" x14ac:dyDescent="0.3">
      <c r="A12" s="105">
        <v>1917</v>
      </c>
      <c r="B12" s="106">
        <f>'Pasture 1'!C12</f>
        <v>123.18170122887864</v>
      </c>
      <c r="C12" s="106">
        <f>'Pasture 2N'!C4</f>
        <v>341.95000000000005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>
        <f>'Pasture 4'!C4</f>
        <v>48.093637992831553</v>
      </c>
      <c r="S12" s="106"/>
      <c r="T12" s="106"/>
      <c r="U12" s="106"/>
      <c r="V12" s="106"/>
      <c r="W12" s="106">
        <f>'Pasture 6A'!C4</f>
        <v>273</v>
      </c>
      <c r="X12" s="106"/>
      <c r="Y12" s="106"/>
      <c r="Z12" s="106"/>
      <c r="AA12" s="106"/>
      <c r="AB12" s="106"/>
      <c r="AC12" s="106">
        <f>'Pasture 8'!C5</f>
        <v>4.9666666666666659</v>
      </c>
      <c r="AD12" s="106">
        <f>'Pasture 9'!C11</f>
        <v>54.083333333333336</v>
      </c>
      <c r="AE12" s="106">
        <f>'Pasture 10'!C11</f>
        <v>21.441666666666666</v>
      </c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S12" s="107">
        <f t="shared" si="0"/>
        <v>1917</v>
      </c>
      <c r="AT12" s="106">
        <f t="shared" si="1"/>
        <v>866.717005888377</v>
      </c>
      <c r="AU12" s="108">
        <f>'Percent Area'!AT11</f>
        <v>8454.74</v>
      </c>
      <c r="AV12" s="109">
        <f t="shared" si="2"/>
        <v>0.10251255578390076</v>
      </c>
      <c r="AW12" s="110">
        <f t="shared" si="3"/>
        <v>4.1486262963942026E-2</v>
      </c>
      <c r="AX12" s="111">
        <f t="shared" si="4"/>
        <v>4.1486262963942027</v>
      </c>
    </row>
    <row r="13" spans="1:50" x14ac:dyDescent="0.3">
      <c r="A13" s="105">
        <v>1918</v>
      </c>
      <c r="B13" s="106">
        <f>'Pasture 1'!C13</f>
        <v>131.19659498207886</v>
      </c>
      <c r="C13" s="106">
        <f>'Pasture 2N'!C5</f>
        <v>665.16666666666663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>
        <f>'Pasture 4'!C5</f>
        <v>27.904301075268819</v>
      </c>
      <c r="S13" s="106"/>
      <c r="T13" s="106"/>
      <c r="U13" s="106"/>
      <c r="V13" s="106"/>
      <c r="W13" s="106">
        <f>'Pasture 6A'!C5</f>
        <v>180.04999999999998</v>
      </c>
      <c r="X13" s="106"/>
      <c r="Y13" s="106"/>
      <c r="Z13" s="106"/>
      <c r="AA13" s="106"/>
      <c r="AB13" s="106"/>
      <c r="AC13" s="106">
        <f>'Pasture 8'!C6</f>
        <v>2.5416666666666665</v>
      </c>
      <c r="AD13" s="106">
        <f>'Pasture 9'!C12</f>
        <v>37.033333333333339</v>
      </c>
      <c r="AE13" s="106">
        <f>'Pasture 10'!C12</f>
        <v>36.299999999999997</v>
      </c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S13" s="107">
        <f t="shared" si="0"/>
        <v>1918</v>
      </c>
      <c r="AT13" s="106">
        <f t="shared" si="1"/>
        <v>1080.1925627240141</v>
      </c>
      <c r="AU13" s="108">
        <f>'Percent Area'!AT12</f>
        <v>8454.74</v>
      </c>
      <c r="AV13" s="109">
        <f t="shared" si="2"/>
        <v>0.12776177182551021</v>
      </c>
      <c r="AW13" s="110">
        <f t="shared" si="3"/>
        <v>5.1704480706398305E-2</v>
      </c>
      <c r="AX13" s="111">
        <f t="shared" si="4"/>
        <v>5.1704480706398304</v>
      </c>
    </row>
    <row r="14" spans="1:50" x14ac:dyDescent="0.3">
      <c r="A14" s="105">
        <v>1919</v>
      </c>
      <c r="B14" s="106">
        <f>'Pasture 1'!C14</f>
        <v>60.790668202764977</v>
      </c>
      <c r="C14" s="106">
        <f>'Pasture 2N'!C6</f>
        <v>276.76666666666671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>
        <f>'Pasture 4'!C6</f>
        <v>55.255465949820781</v>
      </c>
      <c r="S14" s="106">
        <f>'Pasture 5N'!C3</f>
        <v>38.946236559139784</v>
      </c>
      <c r="T14" s="106"/>
      <c r="U14" s="106"/>
      <c r="V14" s="106"/>
      <c r="W14" s="106">
        <f>'Pasture 6A'!C6</f>
        <v>199.04166666666666</v>
      </c>
      <c r="X14" s="106"/>
      <c r="Y14" s="106"/>
      <c r="Z14" s="106"/>
      <c r="AA14" s="106"/>
      <c r="AB14" s="106"/>
      <c r="AC14" s="106">
        <f>'Pasture 8'!C7</f>
        <v>18.641666666666666</v>
      </c>
      <c r="AD14" s="106">
        <f>'Pasture 9'!C13</f>
        <v>31.958333333333332</v>
      </c>
      <c r="AE14" s="106">
        <f>'Pasture 10'!C13</f>
        <v>46.75</v>
      </c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S14" s="107">
        <f t="shared" si="0"/>
        <v>1919</v>
      </c>
      <c r="AT14" s="106">
        <f t="shared" si="1"/>
        <v>728.15070404505889</v>
      </c>
      <c r="AU14" s="108">
        <f>'Percent Area'!AT13</f>
        <v>12573.34</v>
      </c>
      <c r="AV14" s="109">
        <f t="shared" si="2"/>
        <v>5.791227343291909E-2</v>
      </c>
      <c r="AW14" s="110">
        <f t="shared" si="3"/>
        <v>2.3436775974471503E-2</v>
      </c>
      <c r="AX14" s="111">
        <f t="shared" si="4"/>
        <v>2.3436775974471504</v>
      </c>
    </row>
    <row r="15" spans="1:50" x14ac:dyDescent="0.3">
      <c r="A15" s="105">
        <v>1920</v>
      </c>
      <c r="B15" s="106">
        <f>'Pasture 1'!C15</f>
        <v>78.374193548387083</v>
      </c>
      <c r="C15" s="106">
        <f>'Pasture 2N'!C7</f>
        <v>390.11666666666662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>
        <f>'Pasture 4'!C7</f>
        <v>80.12410394265234</v>
      </c>
      <c r="S15" s="106">
        <f>'Pasture 5N'!C4</f>
        <v>57.121418860462235</v>
      </c>
      <c r="T15" s="106"/>
      <c r="U15" s="106"/>
      <c r="V15" s="106"/>
      <c r="W15" s="106">
        <f>'Pasture 6A'!C7</f>
        <v>402.05</v>
      </c>
      <c r="X15" s="106"/>
      <c r="Y15" s="106"/>
      <c r="Z15" s="106"/>
      <c r="AA15" s="106"/>
      <c r="AB15" s="106"/>
      <c r="AC15" s="106">
        <f>'Pasture 8'!C8</f>
        <v>45.466666666666669</v>
      </c>
      <c r="AD15" s="106">
        <f>'Pasture 9'!C14</f>
        <v>76.191666666666677</v>
      </c>
      <c r="AE15" s="106">
        <f>'Pasture 10'!C14</f>
        <v>52.708333333333336</v>
      </c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S15" s="107">
        <f t="shared" si="0"/>
        <v>1920</v>
      </c>
      <c r="AT15" s="106">
        <f t="shared" si="1"/>
        <v>1182.1530496848347</v>
      </c>
      <c r="AU15" s="108">
        <f>'Percent Area'!AT14</f>
        <v>12573.34</v>
      </c>
      <c r="AV15" s="109">
        <f t="shared" si="2"/>
        <v>9.4020606273657978E-2</v>
      </c>
      <c r="AW15" s="110">
        <f t="shared" si="3"/>
        <v>3.8049618079181696E-2</v>
      </c>
      <c r="AX15" s="111">
        <f t="shared" si="4"/>
        <v>3.8049618079181697</v>
      </c>
    </row>
    <row r="16" spans="1:50" x14ac:dyDescent="0.3">
      <c r="A16" s="105">
        <v>1921</v>
      </c>
      <c r="B16" s="106">
        <f>'Pasture 1'!C16</f>
        <v>134.38387096774193</v>
      </c>
      <c r="C16" s="106">
        <f>'Pasture 2N'!C8</f>
        <v>417.23333333333329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>
        <f>'Pasture 4'!C8</f>
        <v>37.129928315412194</v>
      </c>
      <c r="S16" s="106">
        <f>'Pasture 5N'!C5</f>
        <v>42.997939068100358</v>
      </c>
      <c r="T16" s="106"/>
      <c r="U16" s="106"/>
      <c r="V16" s="106"/>
      <c r="W16" s="106">
        <f>'Pasture 6A'!C8</f>
        <v>218.96666666666667</v>
      </c>
      <c r="X16" s="106"/>
      <c r="Y16" s="106"/>
      <c r="Z16" s="106"/>
      <c r="AA16" s="106"/>
      <c r="AB16" s="106"/>
      <c r="AC16" s="106">
        <f>'Pasture 8'!C9</f>
        <v>35.266666666666666</v>
      </c>
      <c r="AD16" s="106">
        <f>'Pasture 9'!C15</f>
        <v>52.241666666666674</v>
      </c>
      <c r="AE16" s="106">
        <f>'Pasture 10'!C15</f>
        <v>43.675000000000004</v>
      </c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S16" s="107">
        <f t="shared" si="0"/>
        <v>1921</v>
      </c>
      <c r="AT16" s="106">
        <f t="shared" si="1"/>
        <v>981.89507168458761</v>
      </c>
      <c r="AU16" s="108">
        <f>'Percent Area'!AT15</f>
        <v>12573.34</v>
      </c>
      <c r="AV16" s="109">
        <f t="shared" si="2"/>
        <v>7.809341604415275E-2</v>
      </c>
      <c r="AW16" s="110">
        <f t="shared" si="3"/>
        <v>3.1603972498645383E-2</v>
      </c>
      <c r="AX16" s="111">
        <f t="shared" si="4"/>
        <v>3.1603972498645385</v>
      </c>
    </row>
    <row r="17" spans="1:50" x14ac:dyDescent="0.3">
      <c r="A17" s="105">
        <v>1922</v>
      </c>
      <c r="B17" s="106">
        <f>'Pasture 1'!C17</f>
        <v>99.134427803379381</v>
      </c>
      <c r="C17" s="106">
        <f>'Pasture 2N'!C9</f>
        <v>431.31666666666666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>
        <f>'Pasture 3'!C3</f>
        <v>49.550000000000004</v>
      </c>
      <c r="R17" s="106">
        <f>'Pasture 4'!C9</f>
        <v>42.136021505376341</v>
      </c>
      <c r="S17" s="106">
        <f>'Pasture 5N'!C6</f>
        <v>73.572401433691766</v>
      </c>
      <c r="T17" s="106"/>
      <c r="U17" s="106"/>
      <c r="V17" s="106"/>
      <c r="W17" s="106">
        <f>'Pasture 6A'!C9</f>
        <v>266.3416666666667</v>
      </c>
      <c r="X17" s="106"/>
      <c r="Y17" s="106"/>
      <c r="Z17" s="106"/>
      <c r="AA17" s="106"/>
      <c r="AB17" s="106"/>
      <c r="AC17" s="106">
        <f>'Pasture 8'!C10</f>
        <v>29.333333333333332</v>
      </c>
      <c r="AD17" s="106">
        <f>'Pasture 9'!C16</f>
        <v>60.308333333333337</v>
      </c>
      <c r="AE17" s="106">
        <f>'Pasture 10'!C16</f>
        <v>41</v>
      </c>
      <c r="AF17" s="106">
        <f>'Pasture 11A'!C3</f>
        <v>4</v>
      </c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S17" s="107">
        <f t="shared" si="0"/>
        <v>1922</v>
      </c>
      <c r="AT17" s="106">
        <f t="shared" si="1"/>
        <v>1096.6928507424475</v>
      </c>
      <c r="AU17" s="108">
        <f>'Percent Area'!AT16</f>
        <v>14486.529999999999</v>
      </c>
      <c r="AV17" s="109">
        <f t="shared" si="2"/>
        <v>7.5704316405823036E-2</v>
      </c>
      <c r="AW17" s="110">
        <f t="shared" si="3"/>
        <v>3.0637117120932023E-2</v>
      </c>
      <c r="AX17" s="111">
        <f t="shared" si="4"/>
        <v>3.0637117120932023</v>
      </c>
    </row>
    <row r="18" spans="1:50" x14ac:dyDescent="0.3">
      <c r="A18" s="105">
        <v>1923</v>
      </c>
      <c r="B18" s="106">
        <f>'Pasture 1'!C18</f>
        <v>59.192741935483866</v>
      </c>
      <c r="C18" s="106">
        <f>'Pasture 2N'!C10</f>
        <v>435.44166666666666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>
        <f>'Pasture 3'!C4</f>
        <v>80.424999999999997</v>
      </c>
      <c r="R18" s="106">
        <f>'Pasture 4'!C10</f>
        <v>26.516666666666666</v>
      </c>
      <c r="S18" s="106">
        <f>'Pasture 5N'!C7</f>
        <v>85.736111111111128</v>
      </c>
      <c r="T18" s="106"/>
      <c r="U18" s="106"/>
      <c r="V18" s="106"/>
      <c r="W18" s="106">
        <f>'Pasture 6A'!C10</f>
        <v>379.67500000000001</v>
      </c>
      <c r="X18" s="106"/>
      <c r="Y18" s="106"/>
      <c r="Z18" s="106"/>
      <c r="AA18" s="106"/>
      <c r="AB18" s="106"/>
      <c r="AC18" s="106">
        <f>'Pasture 8'!C11</f>
        <v>46.866666666666667</v>
      </c>
      <c r="AD18" s="106">
        <f>'Pasture 9'!C17</f>
        <v>43.116666666666667</v>
      </c>
      <c r="AE18" s="106">
        <f>'Pasture 10'!C17</f>
        <v>42.966666666666669</v>
      </c>
      <c r="AF18" s="106">
        <f>'Pasture 11A'!C4</f>
        <v>17.733333333333334</v>
      </c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S18" s="107">
        <f t="shared" si="0"/>
        <v>1923</v>
      </c>
      <c r="AT18" s="106">
        <f t="shared" si="1"/>
        <v>1217.6705197132615</v>
      </c>
      <c r="AU18" s="108">
        <f>'Percent Area'!AT17</f>
        <v>14486.529999999999</v>
      </c>
      <c r="AV18" s="109">
        <f t="shared" si="2"/>
        <v>8.4055361754213159E-2</v>
      </c>
      <c r="AW18" s="110">
        <f t="shared" si="3"/>
        <v>3.4016738872607512E-2</v>
      </c>
      <c r="AX18" s="111">
        <f t="shared" si="4"/>
        <v>3.4016738872607513</v>
      </c>
    </row>
    <row r="19" spans="1:50" x14ac:dyDescent="0.3">
      <c r="A19" s="105">
        <v>1924</v>
      </c>
      <c r="B19" s="106">
        <f>'Pasture 1'!C19</f>
        <v>38.887365591397852</v>
      </c>
      <c r="C19" s="106">
        <f>'Pasture 2N'!C11</f>
        <v>356.4666666666667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>
        <f>'Pasture 3'!C5</f>
        <v>91.908333333333346</v>
      </c>
      <c r="R19" s="106">
        <f>'Pasture 4'!C11</f>
        <v>54.822132616487444</v>
      </c>
      <c r="S19" s="106">
        <f>'Pasture 5N'!C8</f>
        <v>64</v>
      </c>
      <c r="T19" s="106"/>
      <c r="U19" s="106"/>
      <c r="V19" s="106"/>
      <c r="W19" s="106">
        <f>'Pasture 6A'!C11</f>
        <v>191.2166666666667</v>
      </c>
      <c r="X19" s="106"/>
      <c r="Y19" s="106"/>
      <c r="Z19" s="106"/>
      <c r="AA19" s="106"/>
      <c r="AB19" s="106"/>
      <c r="AC19" s="106">
        <f>'Pasture 8'!C12</f>
        <v>41.5</v>
      </c>
      <c r="AD19" s="106">
        <f>'Pasture 9'!C18</f>
        <v>20.091666666666665</v>
      </c>
      <c r="AE19" s="106">
        <f>'Pasture 10'!C18</f>
        <v>21.866666666666664</v>
      </c>
      <c r="AF19" s="106">
        <f>'Pasture 11A'!C5</f>
        <v>28.7</v>
      </c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S19" s="107">
        <f t="shared" si="0"/>
        <v>1924</v>
      </c>
      <c r="AT19" s="106">
        <f t="shared" si="1"/>
        <v>909.45949820788542</v>
      </c>
      <c r="AU19" s="108">
        <f>'Percent Area'!AT18</f>
        <v>14486.529999999999</v>
      </c>
      <c r="AV19" s="109">
        <f t="shared" si="2"/>
        <v>6.2779664847819702E-2</v>
      </c>
      <c r="AW19" s="110">
        <f t="shared" si="3"/>
        <v>2.5406582293735207E-2</v>
      </c>
      <c r="AX19" s="111">
        <f t="shared" si="4"/>
        <v>2.5406582293735207</v>
      </c>
    </row>
    <row r="20" spans="1:50" x14ac:dyDescent="0.3">
      <c r="A20" s="105">
        <v>1925</v>
      </c>
      <c r="B20" s="106">
        <f>'Pasture 1'!C20</f>
        <v>36.251612903225805</v>
      </c>
      <c r="C20" s="106">
        <f>'Pasture 2N'!C12</f>
        <v>354.72499999999997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>
        <f>'Pasture 3'!C6</f>
        <v>117.97500000000001</v>
      </c>
      <c r="R20" s="106">
        <f>'Pasture 4'!C12</f>
        <v>34.091935483870969</v>
      </c>
      <c r="S20" s="106">
        <f>'Pasture 5N'!C9</f>
        <v>102.8010752688172</v>
      </c>
      <c r="T20" s="106"/>
      <c r="U20" s="106"/>
      <c r="V20" s="106"/>
      <c r="W20" s="106">
        <f>'Pasture 6A'!C12</f>
        <v>132.1</v>
      </c>
      <c r="X20" s="106"/>
      <c r="Y20" s="106"/>
      <c r="Z20" s="106"/>
      <c r="AA20" s="106"/>
      <c r="AB20" s="106"/>
      <c r="AC20" s="106">
        <f>'Pasture 8'!C13</f>
        <v>21.416666666666668</v>
      </c>
      <c r="AD20" s="106">
        <f>'Pasture 9'!C19</f>
        <v>28.450000000000003</v>
      </c>
      <c r="AE20" s="106">
        <f>'Pasture 10'!C19</f>
        <v>15.491666666666667</v>
      </c>
      <c r="AF20" s="106">
        <f>'Pasture 11A'!C6</f>
        <v>10.375</v>
      </c>
      <c r="AG20" s="106"/>
      <c r="AH20" s="106"/>
      <c r="AI20" s="106"/>
      <c r="AJ20" s="106">
        <f>'Pasture 12A'!C3</f>
        <v>6</v>
      </c>
      <c r="AK20" s="106"/>
      <c r="AL20" s="106"/>
      <c r="AM20" s="106"/>
      <c r="AN20" s="106"/>
      <c r="AO20" s="106"/>
      <c r="AP20" s="106"/>
      <c r="AQ20" s="106"/>
      <c r="AS20" s="107">
        <f t="shared" si="0"/>
        <v>1925</v>
      </c>
      <c r="AT20" s="106">
        <f t="shared" si="1"/>
        <v>859.67795698924726</v>
      </c>
      <c r="AU20" s="108">
        <f>'Percent Area'!AT19</f>
        <v>14901.529999999999</v>
      </c>
      <c r="AV20" s="109">
        <f t="shared" si="2"/>
        <v>5.7690583248112597E-2</v>
      </c>
      <c r="AW20" s="110">
        <f t="shared" si="3"/>
        <v>2.3347059185800323E-2</v>
      </c>
      <c r="AX20" s="111">
        <f t="shared" si="4"/>
        <v>2.3347059185800321</v>
      </c>
    </row>
    <row r="21" spans="1:50" x14ac:dyDescent="0.3">
      <c r="A21" s="105">
        <v>1926</v>
      </c>
      <c r="B21" s="106">
        <f>'Pasture 1'!C21</f>
        <v>131.49247311827958</v>
      </c>
      <c r="C21" s="106">
        <f>'Pasture 2N'!C13</f>
        <v>546.40833333333342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>
        <f>'Pasture 3'!C7</f>
        <v>97.108333333333334</v>
      </c>
      <c r="R21" s="106">
        <f>'Pasture 4'!C13</f>
        <v>29.4755376344086</v>
      </c>
      <c r="S21" s="106">
        <f>'Pasture 5N'!C10</f>
        <v>176.57204301075271</v>
      </c>
      <c r="T21" s="106"/>
      <c r="U21" s="106"/>
      <c r="V21" s="106"/>
      <c r="W21" s="106">
        <f>'Pasture 6A'!C13</f>
        <v>265.73333333333329</v>
      </c>
      <c r="X21" s="106"/>
      <c r="Y21" s="106"/>
      <c r="Z21" s="106"/>
      <c r="AA21" s="106"/>
      <c r="AB21" s="106"/>
      <c r="AC21" s="106">
        <f>'Pasture 8'!C14</f>
        <v>15.983333333333334</v>
      </c>
      <c r="AD21" s="106">
        <f>'Pasture 9'!C20</f>
        <v>47.808333333333337</v>
      </c>
      <c r="AE21" s="106">
        <f>'Pasture 10'!C20</f>
        <v>40.016666666666666</v>
      </c>
      <c r="AF21" s="106">
        <f>'Pasture 11A'!C7</f>
        <v>1.0416666666666667</v>
      </c>
      <c r="AG21" s="106"/>
      <c r="AH21" s="106"/>
      <c r="AI21" s="106"/>
      <c r="AJ21" s="106">
        <f>'Pasture 12A'!C4</f>
        <v>77.25</v>
      </c>
      <c r="AK21" s="106"/>
      <c r="AL21" s="106"/>
      <c r="AM21" s="106"/>
      <c r="AN21" s="106"/>
      <c r="AO21" s="106"/>
      <c r="AP21" s="106"/>
      <c r="AQ21" s="106"/>
      <c r="AS21" s="107">
        <f t="shared" si="0"/>
        <v>1926</v>
      </c>
      <c r="AT21" s="106">
        <f t="shared" si="1"/>
        <v>1428.8900537634411</v>
      </c>
      <c r="AU21" s="108">
        <f>'Percent Area'!AT20</f>
        <v>16456.189999999999</v>
      </c>
      <c r="AV21" s="109">
        <f t="shared" si="2"/>
        <v>8.682994385477083E-2</v>
      </c>
      <c r="AW21" s="110">
        <f t="shared" si="3"/>
        <v>3.5139596865548697E-2</v>
      </c>
      <c r="AX21" s="111">
        <f t="shared" si="4"/>
        <v>3.5139596865548697</v>
      </c>
    </row>
    <row r="22" spans="1:50" x14ac:dyDescent="0.3">
      <c r="A22" s="105">
        <v>1927</v>
      </c>
      <c r="B22" s="106">
        <f>'Pasture 1'!C22</f>
        <v>78.436290322580632</v>
      </c>
      <c r="C22" s="106">
        <f>'Pasture 2N'!C14</f>
        <v>473.07499999999999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>
        <f>'Pasture 3'!C8</f>
        <v>70.075000000000003</v>
      </c>
      <c r="R22" s="106">
        <f>'Pasture 4'!C14</f>
        <v>38.247311827956985</v>
      </c>
      <c r="S22" s="106">
        <f>'Pasture 5N'!C11</f>
        <v>123.31747311827958</v>
      </c>
      <c r="T22" s="106"/>
      <c r="U22" s="106"/>
      <c r="V22" s="106"/>
      <c r="W22" s="106">
        <f>'Pasture 6A'!C14</f>
        <v>278.99166666666662</v>
      </c>
      <c r="X22" s="106"/>
      <c r="Y22" s="106"/>
      <c r="Z22" s="106"/>
      <c r="AA22" s="106"/>
      <c r="AB22" s="106"/>
      <c r="AC22" s="106">
        <f>'Pasture 8'!C15</f>
        <v>16.324999999999999</v>
      </c>
      <c r="AD22" s="106">
        <f>'Pasture 9'!C21</f>
        <v>42.366666666666667</v>
      </c>
      <c r="AE22" s="106">
        <f>'Pasture 10'!C21</f>
        <v>36.758333333333333</v>
      </c>
      <c r="AF22" s="106">
        <f>'Pasture 11A'!C8</f>
        <v>9.0833333333333339</v>
      </c>
      <c r="AG22" s="106"/>
      <c r="AH22" s="106"/>
      <c r="AI22" s="106"/>
      <c r="AJ22" s="106">
        <f>'Pasture 12A'!C5</f>
        <v>129.28333333333333</v>
      </c>
      <c r="AK22" s="106"/>
      <c r="AL22" s="106"/>
      <c r="AM22" s="106"/>
      <c r="AN22" s="106"/>
      <c r="AO22" s="106"/>
      <c r="AP22" s="106"/>
      <c r="AQ22" s="106"/>
      <c r="AS22" s="107">
        <f t="shared" si="0"/>
        <v>1927</v>
      </c>
      <c r="AT22" s="106">
        <f t="shared" si="1"/>
        <v>1295.9594086021505</v>
      </c>
      <c r="AU22" s="108">
        <f>'Percent Area'!AT21</f>
        <v>17751.739999999998</v>
      </c>
      <c r="AV22" s="109">
        <f t="shared" si="2"/>
        <v>7.3004641156424702E-2</v>
      </c>
      <c r="AW22" s="110">
        <f t="shared" si="3"/>
        <v>2.9544573515347915E-2</v>
      </c>
      <c r="AX22" s="111">
        <f t="shared" si="4"/>
        <v>2.9544573515347916</v>
      </c>
    </row>
    <row r="23" spans="1:50" x14ac:dyDescent="0.3">
      <c r="A23" s="105">
        <v>1928</v>
      </c>
      <c r="B23" s="106">
        <f>'Pasture 1'!C23</f>
        <v>69.651254480286752</v>
      </c>
      <c r="C23" s="106">
        <f>'Pasture 2N'!C15</f>
        <v>302.95833333333331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>
        <f>'Pasture 3'!C9</f>
        <v>71.00833333333334</v>
      </c>
      <c r="R23" s="106">
        <f>'Pasture 4'!C15</f>
        <v>60.683870967741932</v>
      </c>
      <c r="S23" s="106">
        <f>'Pasture 5N'!C12</f>
        <v>186.26137992831545</v>
      </c>
      <c r="T23" s="106"/>
      <c r="U23" s="106"/>
      <c r="V23" s="106"/>
      <c r="W23" s="106">
        <f>'Pasture 6A'!C15</f>
        <v>349.79166666666669</v>
      </c>
      <c r="X23" s="106"/>
      <c r="Y23" s="106"/>
      <c r="Z23" s="106"/>
      <c r="AA23" s="106"/>
      <c r="AB23" s="106"/>
      <c r="AC23" s="106">
        <f>'Pasture 8'!C16</f>
        <v>14.691666666666668</v>
      </c>
      <c r="AD23" s="106">
        <f>'Pasture 9'!C22</f>
        <v>33.699999999999996</v>
      </c>
      <c r="AE23" s="106">
        <f>'Pasture 10'!C22</f>
        <v>41.241666666666667</v>
      </c>
      <c r="AF23" s="106">
        <f>'Pasture 11A'!C9</f>
        <v>9.625</v>
      </c>
      <c r="AG23" s="106"/>
      <c r="AH23" s="106"/>
      <c r="AI23" s="106"/>
      <c r="AJ23" s="106">
        <f>'Pasture 12A'!C6</f>
        <v>146.43333333333334</v>
      </c>
      <c r="AK23" s="106"/>
      <c r="AL23" s="106"/>
      <c r="AM23" s="106"/>
      <c r="AN23" s="106"/>
      <c r="AO23" s="106"/>
      <c r="AP23" s="106"/>
      <c r="AQ23" s="106"/>
      <c r="AS23" s="107">
        <f t="shared" si="0"/>
        <v>1928</v>
      </c>
      <c r="AT23" s="106">
        <f t="shared" si="1"/>
        <v>1286.0465053763442</v>
      </c>
      <c r="AU23" s="108">
        <f>'Percent Area'!AT22</f>
        <v>17751.739999999998</v>
      </c>
      <c r="AV23" s="109">
        <f t="shared" si="2"/>
        <v>7.2446222476013303E-2</v>
      </c>
      <c r="AW23" s="110">
        <f t="shared" si="3"/>
        <v>2.9318584571433954E-2</v>
      </c>
      <c r="AX23" s="111">
        <f t="shared" si="4"/>
        <v>2.9318584571433952</v>
      </c>
    </row>
    <row r="24" spans="1:50" x14ac:dyDescent="0.3">
      <c r="A24" s="105">
        <v>1929</v>
      </c>
      <c r="B24" s="106">
        <f>'Pasture 1'!C24</f>
        <v>40.073476702508962</v>
      </c>
      <c r="C24" s="106">
        <f>'Pasture 2N'!C16</f>
        <v>220.81666666666663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>
        <f>'Pasture 3'!C10</f>
        <v>52.083333333333336</v>
      </c>
      <c r="R24" s="106">
        <f>'Pasture 4'!C16</f>
        <v>21.059677419354838</v>
      </c>
      <c r="S24" s="106">
        <f>'Pasture 5N'!C13</f>
        <v>155.39229390681007</v>
      </c>
      <c r="T24" s="106"/>
      <c r="U24" s="106"/>
      <c r="V24" s="106"/>
      <c r="W24" s="106">
        <f>'Pasture 6A'!C16</f>
        <v>292.77499999999998</v>
      </c>
      <c r="X24" s="106"/>
      <c r="Y24" s="106"/>
      <c r="Z24" s="106"/>
      <c r="AA24" s="106"/>
      <c r="AB24" s="106"/>
      <c r="AC24" s="106">
        <f>'Pasture 8'!C17</f>
        <v>7.2583333333333329</v>
      </c>
      <c r="AD24" s="106">
        <f>'Pasture 9'!C23</f>
        <v>39.524999999999999</v>
      </c>
      <c r="AE24" s="106">
        <f>'Pasture 10'!C23</f>
        <v>29.941666666666663</v>
      </c>
      <c r="AF24" s="106">
        <f>'Pasture 11A'!C10</f>
        <v>13.424999999999999</v>
      </c>
      <c r="AG24" s="106"/>
      <c r="AH24" s="106"/>
      <c r="AI24" s="106"/>
      <c r="AJ24" s="106">
        <f>'Pasture 12A'!C7</f>
        <v>163.86666666666667</v>
      </c>
      <c r="AK24" s="106"/>
      <c r="AL24" s="106"/>
      <c r="AM24" s="106"/>
      <c r="AN24" s="106"/>
      <c r="AO24" s="106"/>
      <c r="AP24" s="106">
        <f>'Pasture 15'!C3</f>
        <v>92.5</v>
      </c>
      <c r="AQ24" s="106"/>
      <c r="AS24" s="107">
        <f t="shared" si="0"/>
        <v>1929</v>
      </c>
      <c r="AT24" s="106">
        <f t="shared" si="1"/>
        <v>1128.7171146953406</v>
      </c>
      <c r="AU24" s="108">
        <f>'Percent Area'!AT23</f>
        <v>19459.14</v>
      </c>
      <c r="AV24" s="109">
        <f t="shared" si="2"/>
        <v>5.8004470634125692E-2</v>
      </c>
      <c r="AW24" s="110">
        <f t="shared" si="3"/>
        <v>2.3474087670629581E-2</v>
      </c>
      <c r="AX24" s="111">
        <f t="shared" si="4"/>
        <v>2.3474087670629582</v>
      </c>
    </row>
    <row r="25" spans="1:50" x14ac:dyDescent="0.3">
      <c r="A25" s="105">
        <v>1930</v>
      </c>
      <c r="B25" s="106"/>
      <c r="C25" s="106">
        <f>'Pasture 2N'!C17</f>
        <v>295.75833333333333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>
        <f>'Pasture 3'!C11</f>
        <v>42.208333333333329</v>
      </c>
      <c r="R25" s="106">
        <f>'Pasture 4'!C17</f>
        <v>35.336111111111109</v>
      </c>
      <c r="S25" s="106">
        <f>'Pasture 5N'!C14</f>
        <v>153.73333333333332</v>
      </c>
      <c r="T25" s="106"/>
      <c r="U25" s="106"/>
      <c r="V25" s="106"/>
      <c r="W25" s="106">
        <f>'Pasture 6A'!C17</f>
        <v>241.625</v>
      </c>
      <c r="X25" s="106"/>
      <c r="Y25" s="106"/>
      <c r="Z25" s="106"/>
      <c r="AA25" s="106"/>
      <c r="AB25" s="106"/>
      <c r="AC25" s="106">
        <f>'Pasture 8'!C18</f>
        <v>10.583333333333334</v>
      </c>
      <c r="AD25" s="106">
        <f>'Pasture 9'!C24</f>
        <v>32.924999999999997</v>
      </c>
      <c r="AE25" s="106">
        <f>'Pasture 10'!C24</f>
        <v>34.591666666666669</v>
      </c>
      <c r="AF25" s="106">
        <f>'Pasture 11A'!C11</f>
        <v>9.4749999999999996</v>
      </c>
      <c r="AG25" s="106"/>
      <c r="AH25" s="106"/>
      <c r="AI25" s="106"/>
      <c r="AJ25" s="106">
        <f>'Pasture 12A'!C8</f>
        <v>149.24166666666665</v>
      </c>
      <c r="AK25" s="106"/>
      <c r="AL25" s="106"/>
      <c r="AM25" s="106"/>
      <c r="AN25" s="106"/>
      <c r="AO25" s="106"/>
      <c r="AP25" s="106">
        <f>'Pasture 15'!C4</f>
        <v>54.841666666666661</v>
      </c>
      <c r="AQ25" s="106"/>
      <c r="AS25" s="107">
        <f t="shared" si="0"/>
        <v>1930</v>
      </c>
      <c r="AT25" s="106">
        <f t="shared" si="1"/>
        <v>1060.3194444444443</v>
      </c>
      <c r="AU25" s="108">
        <f>'Percent Area'!AT24</f>
        <v>19459.14</v>
      </c>
      <c r="AV25" s="109">
        <f t="shared" si="2"/>
        <v>5.4489532653778344E-2</v>
      </c>
      <c r="AW25" s="110">
        <f t="shared" si="3"/>
        <v>2.2051611757903013E-2</v>
      </c>
      <c r="AX25" s="111">
        <f t="shared" si="4"/>
        <v>2.2051611757903014</v>
      </c>
    </row>
    <row r="26" spans="1:50" x14ac:dyDescent="0.3">
      <c r="A26" s="105">
        <v>1931</v>
      </c>
      <c r="B26" s="106"/>
      <c r="C26" s="106">
        <f>'Pasture 2N'!C18</f>
        <v>304.45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>
        <f>'Pasture 3'!C12</f>
        <v>51.94166666666667</v>
      </c>
      <c r="R26" s="106">
        <f>'Pasture 4'!C18</f>
        <v>35.591397849462368</v>
      </c>
      <c r="S26" s="106">
        <f>'Pasture 5N'!C15</f>
        <v>154.94444444444446</v>
      </c>
      <c r="T26" s="106"/>
      <c r="U26" s="106"/>
      <c r="V26" s="106"/>
      <c r="W26" s="106">
        <f>'Pasture 6A'!C18</f>
        <v>256.08333333333331</v>
      </c>
      <c r="X26" s="106"/>
      <c r="Y26" s="106"/>
      <c r="Z26" s="106"/>
      <c r="AA26" s="106"/>
      <c r="AB26" s="106"/>
      <c r="AC26" s="106">
        <f>'Pasture 8'!C19</f>
        <v>8.4166666666666661</v>
      </c>
      <c r="AD26" s="106">
        <f>'Pasture 9'!C25</f>
        <v>51.741666666666674</v>
      </c>
      <c r="AE26" s="106">
        <f>'Pasture 10'!C25</f>
        <v>36.425000000000004</v>
      </c>
      <c r="AF26" s="106">
        <f>'Pasture 11A'!C12</f>
        <v>12.916666666666666</v>
      </c>
      <c r="AG26" s="106"/>
      <c r="AH26" s="106"/>
      <c r="AI26" s="106"/>
      <c r="AJ26" s="106">
        <f>'Pasture 12A'!C9</f>
        <v>125.01666666666667</v>
      </c>
      <c r="AK26" s="106"/>
      <c r="AL26" s="106"/>
      <c r="AM26" s="106"/>
      <c r="AN26" s="106"/>
      <c r="AO26" s="106"/>
      <c r="AP26" s="106">
        <f>'Pasture 15'!C5</f>
        <v>40.35</v>
      </c>
      <c r="AQ26" s="106"/>
      <c r="AS26" s="107">
        <f t="shared" si="0"/>
        <v>1931</v>
      </c>
      <c r="AT26" s="106">
        <f t="shared" si="1"/>
        <v>1077.8775089605733</v>
      </c>
      <c r="AU26" s="108">
        <f>'Percent Area'!AT25</f>
        <v>19459.14</v>
      </c>
      <c r="AV26" s="109">
        <f t="shared" si="2"/>
        <v>5.539183689312957E-2</v>
      </c>
      <c r="AW26" s="110">
        <f t="shared" si="3"/>
        <v>2.2416769280910388E-2</v>
      </c>
      <c r="AX26" s="111">
        <f t="shared" si="4"/>
        <v>2.2416769280910387</v>
      </c>
    </row>
    <row r="27" spans="1:50" x14ac:dyDescent="0.3">
      <c r="A27" s="105">
        <v>1932</v>
      </c>
      <c r="B27" s="106"/>
      <c r="C27" s="106">
        <f>'Pasture 2N'!C19</f>
        <v>321.35833333333329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>
        <f>'Pasture 3'!C13</f>
        <v>63.741666666666667</v>
      </c>
      <c r="R27" s="106">
        <f>'Pasture 4'!C19</f>
        <v>35.43333333333333</v>
      </c>
      <c r="S27" s="106">
        <f>'Pasture 5N'!C16</f>
        <v>159.99193548387098</v>
      </c>
      <c r="T27" s="106"/>
      <c r="U27" s="106"/>
      <c r="V27" s="106"/>
      <c r="W27" s="106">
        <f>'Pasture 6A'!C19</f>
        <v>274.14166666666665</v>
      </c>
      <c r="X27" s="106"/>
      <c r="Y27" s="106"/>
      <c r="Z27" s="106"/>
      <c r="AA27" s="106"/>
      <c r="AB27" s="106"/>
      <c r="AC27" s="106">
        <f>'Pasture 8'!C20</f>
        <v>11.475</v>
      </c>
      <c r="AD27" s="106">
        <f>'Pasture 9'!C26</f>
        <v>49.233333333333341</v>
      </c>
      <c r="AE27" s="106">
        <f>'Pasture 10'!C26</f>
        <v>34.524999999999999</v>
      </c>
      <c r="AF27" s="106">
        <f>'Pasture 11A'!C13</f>
        <v>17.658333333333335</v>
      </c>
      <c r="AG27" s="106"/>
      <c r="AH27" s="106"/>
      <c r="AI27" s="106"/>
      <c r="AJ27" s="106">
        <f>'Pasture 12A'!C10</f>
        <v>131.94999999999999</v>
      </c>
      <c r="AK27" s="106"/>
      <c r="AL27" s="106"/>
      <c r="AM27" s="106"/>
      <c r="AN27" s="106"/>
      <c r="AO27" s="106"/>
      <c r="AP27" s="106">
        <f>'Pasture 15'!C6</f>
        <v>21.558333333333334</v>
      </c>
      <c r="AQ27" s="106"/>
      <c r="AS27" s="107">
        <f t="shared" si="0"/>
        <v>1932</v>
      </c>
      <c r="AT27" s="106">
        <f t="shared" si="1"/>
        <v>1121.066935483871</v>
      </c>
      <c r="AU27" s="108">
        <f>'Percent Area'!AT26</f>
        <v>19459.14</v>
      </c>
      <c r="AV27" s="109">
        <f t="shared" si="2"/>
        <v>5.7611329970588168E-2</v>
      </c>
      <c r="AW27" s="110">
        <f t="shared" si="3"/>
        <v>2.3314985823791243E-2</v>
      </c>
      <c r="AX27" s="111">
        <f t="shared" si="4"/>
        <v>2.3314985823791243</v>
      </c>
    </row>
    <row r="28" spans="1:50" x14ac:dyDescent="0.3">
      <c r="A28" s="105">
        <v>1933</v>
      </c>
      <c r="B28" s="106"/>
      <c r="C28" s="106">
        <f>'Pasture 2N'!C20</f>
        <v>304.34999999999997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>
        <f>'Pasture 3'!C14</f>
        <v>71.88333333333334</v>
      </c>
      <c r="R28" s="106">
        <f>'Pasture 4'!C20</f>
        <v>33.050806451612907</v>
      </c>
      <c r="S28" s="106">
        <f>'Pasture 5N'!C17</f>
        <v>156.95000000000002</v>
      </c>
      <c r="T28" s="106"/>
      <c r="U28" s="106"/>
      <c r="V28" s="106"/>
      <c r="W28" s="106">
        <f>'Pasture 6A'!C20</f>
        <v>251.27500000000001</v>
      </c>
      <c r="X28" s="106"/>
      <c r="Y28" s="106"/>
      <c r="Z28" s="106"/>
      <c r="AA28" s="106"/>
      <c r="AB28" s="106"/>
      <c r="AC28" s="106">
        <f>'Pasture 8'!C21</f>
        <v>8.0333333333333332</v>
      </c>
      <c r="AD28" s="106">
        <f>'Pasture 9'!C27</f>
        <v>31.650000000000002</v>
      </c>
      <c r="AE28" s="106">
        <f>'Pasture 10'!C27</f>
        <v>33.35</v>
      </c>
      <c r="AF28" s="106">
        <f>'Pasture 11A'!C14</f>
        <v>24.125000000000004</v>
      </c>
      <c r="AG28" s="106"/>
      <c r="AH28" s="106"/>
      <c r="AI28" s="106"/>
      <c r="AJ28" s="106">
        <f>'Pasture 12A'!C11</f>
        <v>131.80833333333334</v>
      </c>
      <c r="AK28" s="106"/>
      <c r="AL28" s="106"/>
      <c r="AM28" s="106"/>
      <c r="AN28" s="106"/>
      <c r="AO28" s="106"/>
      <c r="AP28" s="106">
        <f>'Pasture 15'!C7</f>
        <v>48.925000000000004</v>
      </c>
      <c r="AQ28" s="106"/>
      <c r="AS28" s="107">
        <f t="shared" si="0"/>
        <v>1933</v>
      </c>
      <c r="AT28" s="106">
        <f t="shared" si="1"/>
        <v>1095.4008064516129</v>
      </c>
      <c r="AU28" s="108">
        <f>'Percent Area'!AT27</f>
        <v>19459.14</v>
      </c>
      <c r="AV28" s="109">
        <f t="shared" si="2"/>
        <v>5.6292354464360345E-2</v>
      </c>
      <c r="AW28" s="110">
        <f t="shared" si="3"/>
        <v>2.2781203749235267E-2</v>
      </c>
      <c r="AX28" s="111">
        <f t="shared" si="4"/>
        <v>2.2781203749235268</v>
      </c>
    </row>
    <row r="29" spans="1:50" x14ac:dyDescent="0.3">
      <c r="A29" s="105">
        <v>1934</v>
      </c>
      <c r="B29" s="106"/>
      <c r="C29" s="106">
        <f>'Pasture 2N'!C21</f>
        <v>231.22499999999999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>
        <f>'Pasture 3'!C15</f>
        <v>73.424999999999997</v>
      </c>
      <c r="R29" s="106">
        <f>'Pasture 4'!C21</f>
        <v>35.336994367639527</v>
      </c>
      <c r="S29" s="106">
        <f>'Pasture 5N'!C18</f>
        <v>155.86666666666667</v>
      </c>
      <c r="T29" s="106"/>
      <c r="U29" s="106"/>
      <c r="V29" s="106"/>
      <c r="W29" s="106">
        <f>'Pasture 6A'!C21</f>
        <v>214.125</v>
      </c>
      <c r="X29" s="106"/>
      <c r="Y29" s="106"/>
      <c r="Z29" s="106"/>
      <c r="AA29" s="106"/>
      <c r="AB29" s="106"/>
      <c r="AC29" s="106">
        <f>'Pasture 8'!C22</f>
        <v>9.5583333333333336</v>
      </c>
      <c r="AD29" s="106">
        <f>'Pasture 9'!C28</f>
        <v>50.366666666666653</v>
      </c>
      <c r="AE29" s="106">
        <f>'Pasture 10'!C28</f>
        <v>29.866666666666664</v>
      </c>
      <c r="AF29" s="106">
        <f>'Pasture 11A'!C15</f>
        <v>7.95</v>
      </c>
      <c r="AG29" s="106"/>
      <c r="AH29" s="106"/>
      <c r="AI29" s="106"/>
      <c r="AJ29" s="106">
        <f>'Pasture 12A'!C12</f>
        <v>112.77499999999999</v>
      </c>
      <c r="AK29" s="106"/>
      <c r="AL29" s="106"/>
      <c r="AM29" s="106"/>
      <c r="AN29" s="106"/>
      <c r="AO29" s="106"/>
      <c r="AP29" s="106">
        <f>'Pasture 15'!C8</f>
        <v>98.491666666666674</v>
      </c>
      <c r="AQ29" s="106"/>
      <c r="AS29" s="107">
        <f t="shared" si="0"/>
        <v>1934</v>
      </c>
      <c r="AT29" s="106">
        <f t="shared" si="1"/>
        <v>1018.9869943676396</v>
      </c>
      <c r="AU29" s="108">
        <f>'Percent Area'!AT28</f>
        <v>19459.14</v>
      </c>
      <c r="AV29" s="109">
        <f t="shared" si="2"/>
        <v>5.2365469099232523E-2</v>
      </c>
      <c r="AW29" s="110">
        <f t="shared" si="3"/>
        <v>2.1192015013853711E-2</v>
      </c>
      <c r="AX29" s="111">
        <f t="shared" si="4"/>
        <v>2.1192015013853713</v>
      </c>
    </row>
    <row r="30" spans="1:50" x14ac:dyDescent="0.3">
      <c r="A30" s="105">
        <v>1935</v>
      </c>
      <c r="B30" s="106"/>
      <c r="C30" s="106">
        <f>'Pasture 2N'!C22</f>
        <v>262.24166666666662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>
        <f>'Pasture 3'!C16</f>
        <v>127.19166666666665</v>
      </c>
      <c r="R30" s="106">
        <f>'Pasture 4'!C22</f>
        <v>23.708870967741934</v>
      </c>
      <c r="S30" s="106">
        <f>'Pasture 5N'!C19</f>
        <v>166.19166666666666</v>
      </c>
      <c r="T30" s="106"/>
      <c r="U30" s="106"/>
      <c r="V30" s="106"/>
      <c r="W30" s="106">
        <f>'Pasture 6A'!C22</f>
        <v>247.60833333333332</v>
      </c>
      <c r="X30" s="106"/>
      <c r="Y30" s="106"/>
      <c r="Z30" s="106"/>
      <c r="AA30" s="106"/>
      <c r="AB30" s="106"/>
      <c r="AC30" s="106">
        <f>'Pasture 8'!C23</f>
        <v>13</v>
      </c>
      <c r="AD30" s="106">
        <f>'Pasture 9'!C29</f>
        <v>28.616666666666671</v>
      </c>
      <c r="AE30" s="106">
        <f>'Pasture 10'!C29</f>
        <v>20.541666666666668</v>
      </c>
      <c r="AF30" s="106">
        <f>'Pasture 11A'!C16</f>
        <v>7.5</v>
      </c>
      <c r="AG30" s="106"/>
      <c r="AH30" s="106"/>
      <c r="AI30" s="106"/>
      <c r="AJ30" s="106">
        <f>'Pasture 12A'!C13</f>
        <v>113.15833333333335</v>
      </c>
      <c r="AK30" s="106"/>
      <c r="AL30" s="106"/>
      <c r="AM30" s="106"/>
      <c r="AN30" s="106"/>
      <c r="AO30" s="106"/>
      <c r="AP30" s="106">
        <f>'Pasture 15'!C9</f>
        <v>91</v>
      </c>
      <c r="AQ30" s="106"/>
      <c r="AS30" s="107">
        <f t="shared" si="0"/>
        <v>1935</v>
      </c>
      <c r="AT30" s="106">
        <f t="shared" si="1"/>
        <v>1100.7588709677418</v>
      </c>
      <c r="AU30" s="108">
        <f>'Percent Area'!AT29</f>
        <v>19459.14</v>
      </c>
      <c r="AV30" s="109">
        <f t="shared" si="2"/>
        <v>5.656770396676019E-2</v>
      </c>
      <c r="AW30" s="110">
        <f t="shared" si="3"/>
        <v>2.2892636166232369E-2</v>
      </c>
      <c r="AX30" s="111">
        <f t="shared" si="4"/>
        <v>2.289263616623237</v>
      </c>
    </row>
    <row r="31" spans="1:50" x14ac:dyDescent="0.3">
      <c r="A31" s="105">
        <v>1936</v>
      </c>
      <c r="B31" s="106">
        <f>'Pasture 1'!C31</f>
        <v>16</v>
      </c>
      <c r="C31" s="106">
        <f>'Pasture 2N'!C23</f>
        <v>228.82500000000002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>
        <f>'Pasture 3'!C17</f>
        <v>35.466666666666669</v>
      </c>
      <c r="R31" s="106">
        <f>'Pasture 4'!C23</f>
        <v>35</v>
      </c>
      <c r="S31" s="106">
        <f>'Pasture 5N'!C20</f>
        <v>156.9760752688172</v>
      </c>
      <c r="T31" s="106"/>
      <c r="U31" s="106"/>
      <c r="V31" s="106"/>
      <c r="W31" s="106">
        <f>'Pasture 6A'!C23</f>
        <v>252.80833333333337</v>
      </c>
      <c r="X31" s="106"/>
      <c r="Y31" s="106"/>
      <c r="Z31" s="106"/>
      <c r="AA31" s="106"/>
      <c r="AB31" s="106"/>
      <c r="AC31" s="106">
        <f>'Pasture 8'!C24</f>
        <v>27.491666666666671</v>
      </c>
      <c r="AD31" s="106">
        <f>'Pasture 9'!C30</f>
        <v>35.80833333333333</v>
      </c>
      <c r="AE31" s="106">
        <f>'Pasture 10'!C30</f>
        <v>19.216666666666665</v>
      </c>
      <c r="AF31" s="106">
        <f>'Pasture 11A'!C17</f>
        <v>11.600000000000001</v>
      </c>
      <c r="AG31" s="106"/>
      <c r="AH31" s="106"/>
      <c r="AI31" s="106"/>
      <c r="AJ31" s="106">
        <f>'Pasture 12A'!C14</f>
        <v>106.84166666666665</v>
      </c>
      <c r="AK31" s="106"/>
      <c r="AL31" s="106"/>
      <c r="AM31" s="106"/>
      <c r="AN31" s="106"/>
      <c r="AO31" s="106"/>
      <c r="AP31" s="106">
        <f>'Pasture 15'!C10</f>
        <v>83.775000000000006</v>
      </c>
      <c r="AQ31" s="106"/>
      <c r="AS31" s="107">
        <f t="shared" si="0"/>
        <v>1936</v>
      </c>
      <c r="AT31" s="106">
        <f t="shared" si="1"/>
        <v>1009.8094086021506</v>
      </c>
      <c r="AU31" s="108">
        <f>'Percent Area'!AT30</f>
        <v>19459.14</v>
      </c>
      <c r="AV31" s="109">
        <f t="shared" si="2"/>
        <v>5.1893835421408685E-2</v>
      </c>
      <c r="AW31" s="110">
        <f t="shared" si="3"/>
        <v>2.1001147479323627E-2</v>
      </c>
      <c r="AX31" s="111">
        <f t="shared" si="4"/>
        <v>2.1001147479323627</v>
      </c>
    </row>
    <row r="32" spans="1:50" x14ac:dyDescent="0.3">
      <c r="A32" s="105">
        <v>1937</v>
      </c>
      <c r="B32" s="106">
        <f>'Pasture 1'!C32</f>
        <v>28.33602150537634</v>
      </c>
      <c r="C32" s="106">
        <f>'Pasture 2N'!C24</f>
        <v>228.96666666666667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>
        <f>'Pasture 3'!C18</f>
        <v>41.125</v>
      </c>
      <c r="R32" s="106">
        <f>'Pasture 4'!C24</f>
        <v>32.666666666666664</v>
      </c>
      <c r="S32" s="106">
        <f>'Pasture 5N'!C21</f>
        <v>150.32715053763442</v>
      </c>
      <c r="T32" s="106"/>
      <c r="U32" s="106"/>
      <c r="V32" s="106"/>
      <c r="W32" s="106"/>
      <c r="X32" s="106">
        <f>'Pasture 6A'!C24</f>
        <v>98.325000000000003</v>
      </c>
      <c r="Y32" s="106">
        <f>'Pasture 6B'!C24</f>
        <v>85.633333333333326</v>
      </c>
      <c r="Z32" s="106">
        <f>'Pasture 6C'!C24</f>
        <v>6.5</v>
      </c>
      <c r="AA32" s="106"/>
      <c r="AB32" s="106"/>
      <c r="AC32" s="106">
        <f>'Pasture 8'!C25</f>
        <v>33.158333333333331</v>
      </c>
      <c r="AD32" s="106">
        <f>'Pasture 9'!C31</f>
        <v>42.400000000000006</v>
      </c>
      <c r="AE32" s="106">
        <f>'Pasture 10'!C31</f>
        <v>17.983333333333334</v>
      </c>
      <c r="AF32" s="106">
        <f>'Pasture 11A'!C18</f>
        <v>5.7833333333333341</v>
      </c>
      <c r="AG32" s="106"/>
      <c r="AH32" s="106"/>
      <c r="AI32" s="106"/>
      <c r="AJ32" s="106"/>
      <c r="AK32" s="106">
        <f>'Pasture 12A'!C15</f>
        <v>77.766666666666666</v>
      </c>
      <c r="AL32" s="106">
        <f>'Pasture 12B'!C15</f>
        <v>51.099999999999994</v>
      </c>
      <c r="AM32" s="106"/>
      <c r="AN32" s="106"/>
      <c r="AO32" s="106"/>
      <c r="AP32" s="106">
        <f>'Pasture 15'!C11</f>
        <v>69.74166666666666</v>
      </c>
      <c r="AQ32" s="106"/>
      <c r="AS32" s="107">
        <f t="shared" si="0"/>
        <v>1937</v>
      </c>
      <c r="AT32" s="106">
        <f t="shared" si="1"/>
        <v>969.81317204301081</v>
      </c>
      <c r="AU32" s="108">
        <f>'Percent Area'!AT31</f>
        <v>19459.138999999999</v>
      </c>
      <c r="AV32" s="109">
        <f t="shared" si="2"/>
        <v>4.9838442083332199E-2</v>
      </c>
      <c r="AW32" s="110">
        <f t="shared" si="3"/>
        <v>2.0169341191150221E-2</v>
      </c>
      <c r="AX32" s="111">
        <f t="shared" si="4"/>
        <v>2.0169341191150223</v>
      </c>
    </row>
    <row r="33" spans="1:50" x14ac:dyDescent="0.3">
      <c r="A33" s="105">
        <v>1938</v>
      </c>
      <c r="B33" s="106">
        <f>'Pasture 1'!C33</f>
        <v>31.024462365591393</v>
      </c>
      <c r="C33" s="106">
        <f>'Pasture 2N'!C25</f>
        <v>182.7833333333333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>
        <f>'Pasture 3'!C19</f>
        <v>47.625</v>
      </c>
      <c r="R33" s="106">
        <f>'Pasture 4'!C25</f>
        <v>27.18763440860215</v>
      </c>
      <c r="S33" s="106">
        <f>'Pasture 5N'!C22</f>
        <v>153.9111111111111</v>
      </c>
      <c r="T33" s="106"/>
      <c r="U33" s="106"/>
      <c r="V33" s="106"/>
      <c r="W33" s="106"/>
      <c r="X33" s="106">
        <f>'Pasture 6A'!C25</f>
        <v>103.43333333333334</v>
      </c>
      <c r="Y33" s="106">
        <f>'Pasture 6B'!C25</f>
        <v>78.783333333333346</v>
      </c>
      <c r="Z33" s="106">
        <f>'Pasture 6C'!C25</f>
        <v>3.5749999999999997</v>
      </c>
      <c r="AA33" s="106"/>
      <c r="AB33" s="106"/>
      <c r="AC33" s="106">
        <f>'Pasture 8'!C26</f>
        <v>34.591666666666669</v>
      </c>
      <c r="AD33" s="106">
        <f>'Pasture 9'!C32</f>
        <v>38.774999999999999</v>
      </c>
      <c r="AE33" s="106">
        <f>'Pasture 10'!C32</f>
        <v>19.641666666666666</v>
      </c>
      <c r="AF33" s="106">
        <f>'Pasture 11A'!C19</f>
        <v>14.091666666666669</v>
      </c>
      <c r="AG33" s="106"/>
      <c r="AH33" s="106"/>
      <c r="AI33" s="106"/>
      <c r="AJ33" s="106"/>
      <c r="AK33" s="106">
        <f>'Pasture 12A'!C16</f>
        <v>70.725000000000009</v>
      </c>
      <c r="AL33" s="106">
        <f>'Pasture 12B'!C16</f>
        <v>39.541666666666664</v>
      </c>
      <c r="AM33" s="106"/>
      <c r="AN33" s="106"/>
      <c r="AO33" s="106"/>
      <c r="AP33" s="106">
        <f>'Pasture 15'!C12</f>
        <v>47.083333333333336</v>
      </c>
      <c r="AQ33" s="106"/>
      <c r="AS33" s="107">
        <f t="shared" si="0"/>
        <v>1938</v>
      </c>
      <c r="AT33" s="106">
        <f t="shared" si="1"/>
        <v>892.7732078853046</v>
      </c>
      <c r="AU33" s="108">
        <f>'Percent Area'!AT32</f>
        <v>19459.138999999999</v>
      </c>
      <c r="AV33" s="109">
        <f t="shared" si="2"/>
        <v>4.5879378727152552E-2</v>
      </c>
      <c r="AW33" s="110">
        <f t="shared" si="3"/>
        <v>1.8567130201194881E-2</v>
      </c>
      <c r="AX33" s="111">
        <f t="shared" si="4"/>
        <v>1.8567130201194881</v>
      </c>
    </row>
    <row r="34" spans="1:50" x14ac:dyDescent="0.3">
      <c r="A34" s="105">
        <v>1939</v>
      </c>
      <c r="B34" s="106">
        <f>'Pasture 1'!C34</f>
        <v>33.862903225806456</v>
      </c>
      <c r="C34" s="106">
        <f>'Pasture 2N'!C26</f>
        <v>193.33333333333334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>
        <f>'Pasture 3'!C20</f>
        <v>47.6</v>
      </c>
      <c r="R34" s="106">
        <f>'Pasture 4'!C26</f>
        <v>25.033333333333331</v>
      </c>
      <c r="S34" s="106">
        <f>'Pasture 5N'!C23</f>
        <v>150.28154121863801</v>
      </c>
      <c r="T34" s="106"/>
      <c r="U34" s="106"/>
      <c r="V34" s="106"/>
      <c r="W34" s="106"/>
      <c r="X34" s="106">
        <f>'Pasture 6A'!C26</f>
        <v>102.51666666666667</v>
      </c>
      <c r="Y34" s="106">
        <f>'Pasture 6B'!C26</f>
        <v>5.6833333333333336</v>
      </c>
      <c r="Z34" s="106">
        <f>'Pasture 6C'!C26</f>
        <v>7.333333333333333</v>
      </c>
      <c r="AA34" s="106"/>
      <c r="AB34" s="106"/>
      <c r="AC34" s="106">
        <f>'Pasture 8'!C27</f>
        <v>37.966666666666669</v>
      </c>
      <c r="AD34" s="106">
        <f>'Pasture 9'!C33</f>
        <v>43.041666666666679</v>
      </c>
      <c r="AE34" s="106">
        <f>'Pasture 10'!C33</f>
        <v>20.725000000000001</v>
      </c>
      <c r="AF34" s="106">
        <f>'Pasture 11A'!C20</f>
        <v>20.625</v>
      </c>
      <c r="AG34" s="106"/>
      <c r="AH34" s="106"/>
      <c r="AI34" s="106"/>
      <c r="AJ34" s="106"/>
      <c r="AK34" s="106">
        <f>'Pasture 12A'!C17</f>
        <v>71.225000000000009</v>
      </c>
      <c r="AL34" s="106">
        <f>'Pasture 12B'!C17</f>
        <v>39.949999999999996</v>
      </c>
      <c r="AM34" s="106"/>
      <c r="AN34" s="106"/>
      <c r="AO34" s="106"/>
      <c r="AP34" s="106">
        <f>'Pasture 15'!C13</f>
        <v>47.066666666666663</v>
      </c>
      <c r="AQ34" s="106"/>
      <c r="AS34" s="107">
        <f t="shared" si="0"/>
        <v>1939</v>
      </c>
      <c r="AT34" s="106">
        <f t="shared" si="1"/>
        <v>846.24444444444453</v>
      </c>
      <c r="AU34" s="108">
        <f>'Percent Area'!AT33</f>
        <v>19459.138999999999</v>
      </c>
      <c r="AV34" s="109">
        <f t="shared" si="2"/>
        <v>4.348827789577147E-2</v>
      </c>
      <c r="AW34" s="110">
        <f t="shared" si="3"/>
        <v>1.7599464951748873E-2</v>
      </c>
      <c r="AX34" s="111">
        <f t="shared" si="4"/>
        <v>1.7599464951748873</v>
      </c>
    </row>
    <row r="35" spans="1:50" x14ac:dyDescent="0.3">
      <c r="A35" s="105">
        <v>1940</v>
      </c>
      <c r="B35" s="106">
        <f>'Pasture 1'!C35</f>
        <v>18.822849462365593</v>
      </c>
      <c r="C35" s="106">
        <f>'Pasture 2N'!C27</f>
        <v>122.97500000000001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>
        <f>'Pasture 3'!C21</f>
        <v>40.116666666666667</v>
      </c>
      <c r="R35" s="106">
        <f>'Pasture 4'!C27</f>
        <v>6.8500000000000005</v>
      </c>
      <c r="S35" s="106">
        <f>'Pasture 5N'!C24</f>
        <v>137.01998207885305</v>
      </c>
      <c r="T35" s="106"/>
      <c r="U35" s="106"/>
      <c r="V35" s="106"/>
      <c r="W35" s="106"/>
      <c r="X35" s="106">
        <f>'Pasture 6A'!C27</f>
        <v>91.375</v>
      </c>
      <c r="Y35" s="106">
        <f>'Pasture 6B'!C27</f>
        <v>54.133333333333333</v>
      </c>
      <c r="Z35" s="106">
        <f>'Pasture 6C'!C27</f>
        <v>3.9750000000000001</v>
      </c>
      <c r="AA35" s="106"/>
      <c r="AB35" s="106"/>
      <c r="AC35" s="106">
        <f>'Pasture 8'!C28</f>
        <v>11.133333333333335</v>
      </c>
      <c r="AD35" s="106">
        <f>'Pasture 9'!C34</f>
        <v>46.699999999999996</v>
      </c>
      <c r="AE35" s="106">
        <f>'Pasture 10'!C34</f>
        <v>21.074999999999999</v>
      </c>
      <c r="AF35" s="106">
        <f>'Pasture 11A'!C21</f>
        <v>17.216666666666665</v>
      </c>
      <c r="AG35" s="106"/>
      <c r="AH35" s="106"/>
      <c r="AI35" s="106"/>
      <c r="AJ35" s="106"/>
      <c r="AK35" s="106">
        <f>'Pasture 12A'!C18</f>
        <v>30.433333333333334</v>
      </c>
      <c r="AL35" s="106">
        <f>'Pasture 12B'!C18</f>
        <v>42.258333333333333</v>
      </c>
      <c r="AM35" s="106"/>
      <c r="AN35" s="106"/>
      <c r="AO35" s="106"/>
      <c r="AP35" s="106">
        <f>'Pasture 15'!C14</f>
        <v>38.358333333333334</v>
      </c>
      <c r="AQ35" s="106"/>
      <c r="AR35" s="112"/>
      <c r="AS35" s="107">
        <f t="shared" si="0"/>
        <v>1940</v>
      </c>
      <c r="AT35" s="106">
        <f t="shared" si="1"/>
        <v>682.44283154121877</v>
      </c>
      <c r="AU35" s="108">
        <f>'Percent Area'!AT34</f>
        <v>19459.138999999999</v>
      </c>
      <c r="AV35" s="109">
        <f t="shared" si="2"/>
        <v>3.5070556386961355E-2</v>
      </c>
      <c r="AW35" s="110">
        <f t="shared" si="3"/>
        <v>1.4192859727624992E-2</v>
      </c>
      <c r="AX35" s="111">
        <f t="shared" si="4"/>
        <v>1.4192859727624991</v>
      </c>
    </row>
    <row r="36" spans="1:50" x14ac:dyDescent="0.3">
      <c r="A36" s="105">
        <v>1941</v>
      </c>
      <c r="B36" s="106">
        <f>'Pasture 1'!C36</f>
        <v>24.379032258064516</v>
      </c>
      <c r="C36" s="106">
        <f>'Pasture 2N'!C28</f>
        <v>129.44999999999999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>
        <f>'Pasture 3'!C22</f>
        <v>35.44166666666667</v>
      </c>
      <c r="R36" s="106">
        <f>'Pasture 4'!C28</f>
        <v>6.8553763440860216</v>
      </c>
      <c r="S36" s="106">
        <f>'Pasture 5N'!C25</f>
        <v>135.37580645161293</v>
      </c>
      <c r="T36" s="106"/>
      <c r="U36" s="106"/>
      <c r="V36" s="106"/>
      <c r="W36" s="106"/>
      <c r="X36" s="106">
        <f>'Pasture 6A'!C28</f>
        <v>88.63333333333334</v>
      </c>
      <c r="Y36" s="106">
        <f>'Pasture 6B'!C28</f>
        <v>52.291666666666664</v>
      </c>
      <c r="Z36" s="106">
        <f>'Pasture 6C'!C28</f>
        <v>10.666666666666666</v>
      </c>
      <c r="AA36" s="106"/>
      <c r="AB36" s="106"/>
      <c r="AC36" s="106">
        <f>'Pasture 8'!C29</f>
        <v>9.9</v>
      </c>
      <c r="AD36" s="106">
        <f>'Pasture 9'!C35</f>
        <v>45.79999999999999</v>
      </c>
      <c r="AE36" s="106">
        <f>'Pasture 10'!C35</f>
        <v>24.841666666666669</v>
      </c>
      <c r="AF36" s="106"/>
      <c r="AG36" s="106"/>
      <c r="AH36" s="106"/>
      <c r="AI36" s="106"/>
      <c r="AJ36" s="106"/>
      <c r="AK36" s="106">
        <f>'Pasture 12A'!C19</f>
        <v>31.658333333333331</v>
      </c>
      <c r="AL36" s="106">
        <f>'Pasture 12B'!C19</f>
        <v>43.366666666666667</v>
      </c>
      <c r="AM36" s="106"/>
      <c r="AN36" s="106"/>
      <c r="AO36" s="106"/>
      <c r="AP36" s="106">
        <f>'Pasture 15'!C15</f>
        <v>38.125</v>
      </c>
      <c r="AQ36" s="106">
        <f>'Pasture 140'!C3</f>
        <v>1.7416666666666665</v>
      </c>
      <c r="AR36" s="112"/>
      <c r="AS36" s="107">
        <f t="shared" si="0"/>
        <v>1941</v>
      </c>
      <c r="AT36" s="106">
        <f t="shared" si="1"/>
        <v>678.52688172043008</v>
      </c>
      <c r="AU36" s="108">
        <f>'Percent Area'!AT35</f>
        <v>19521.418999999998</v>
      </c>
      <c r="AV36" s="109">
        <f t="shared" si="2"/>
        <v>3.4758071722164774E-2</v>
      </c>
      <c r="AW36" s="110">
        <f t="shared" si="3"/>
        <v>1.406639891629493E-2</v>
      </c>
      <c r="AX36" s="111">
        <f t="shared" si="4"/>
        <v>1.4066398916294929</v>
      </c>
    </row>
    <row r="37" spans="1:50" x14ac:dyDescent="0.3">
      <c r="A37" s="105">
        <v>1942</v>
      </c>
      <c r="B37" s="106">
        <f>'Pasture 1'!C37</f>
        <v>24.461021505376348</v>
      </c>
      <c r="C37" s="106">
        <f>'Pasture 2N'!C29</f>
        <v>136.39166666666668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>
        <f>'Pasture 3'!C23</f>
        <v>42.475000000000001</v>
      </c>
      <c r="R37" s="106">
        <f>'Pasture 4'!C29</f>
        <v>11.598745519713262</v>
      </c>
      <c r="S37" s="106">
        <f>'Pasture 5N'!C26</f>
        <v>129.5151433691756</v>
      </c>
      <c r="T37" s="106"/>
      <c r="U37" s="106"/>
      <c r="V37" s="106"/>
      <c r="W37" s="106"/>
      <c r="X37" s="106">
        <f>'Pasture 6A'!C29</f>
        <v>90.25</v>
      </c>
      <c r="Y37" s="106">
        <f>'Pasture 6B'!C29</f>
        <v>50.833333333333336</v>
      </c>
      <c r="Z37" s="106">
        <f>'Pasture 6C'!C29</f>
        <v>10.633333333333333</v>
      </c>
      <c r="AA37" s="106"/>
      <c r="AB37" s="106"/>
      <c r="AC37" s="106">
        <f>'Pasture 8'!C30</f>
        <v>9.9416666666666664</v>
      </c>
      <c r="AD37" s="106">
        <f>'Pasture 9'!C36</f>
        <v>41.708333333333336</v>
      </c>
      <c r="AE37" s="106">
        <f>'Pasture 10'!C36</f>
        <v>23.024999999999995</v>
      </c>
      <c r="AF37" s="106"/>
      <c r="AG37" s="106">
        <f>'Pasture 11A'!C23</f>
        <v>10.208333333333334</v>
      </c>
      <c r="AH37" s="106">
        <f>'Pasture 11B'!C23</f>
        <v>3.2916666666666665</v>
      </c>
      <c r="AI37" s="106"/>
      <c r="AJ37" s="106"/>
      <c r="AK37" s="106">
        <f>'Pasture 12A'!C20</f>
        <v>41.533333333333331</v>
      </c>
      <c r="AL37" s="106">
        <f>'Pasture 12B'!C20</f>
        <v>39.36666666666666</v>
      </c>
      <c r="AM37" s="106"/>
      <c r="AN37" s="106"/>
      <c r="AO37" s="106"/>
      <c r="AP37" s="106">
        <f>'Pasture 15'!C16</f>
        <v>28.783333333333331</v>
      </c>
      <c r="AQ37" s="106">
        <f>'Pasture 140'!C4</f>
        <v>1.8</v>
      </c>
      <c r="AR37" s="112"/>
      <c r="AS37" s="107">
        <f t="shared" si="0"/>
        <v>1942</v>
      </c>
      <c r="AT37" s="106">
        <f t="shared" si="1"/>
        <v>695.81657706093176</v>
      </c>
      <c r="AU37" s="108">
        <f>'Percent Area'!AT36</f>
        <v>19521.409</v>
      </c>
      <c r="AV37" s="109">
        <f t="shared" si="2"/>
        <v>3.564376818604291E-2</v>
      </c>
      <c r="AW37" s="110">
        <f t="shared" si="3"/>
        <v>1.442483536464707E-2</v>
      </c>
      <c r="AX37" s="111">
        <f t="shared" si="4"/>
        <v>1.4424835364647071</v>
      </c>
    </row>
    <row r="38" spans="1:50" x14ac:dyDescent="0.3">
      <c r="A38" s="105">
        <v>1943</v>
      </c>
      <c r="B38" s="106">
        <f>'Pasture 1'!C38</f>
        <v>19.848297491039428</v>
      </c>
      <c r="C38" s="106">
        <f>'Pasture 2N'!C30</f>
        <v>132.44999999999999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>
        <f>'Pasture 3'!C24</f>
        <v>40.150000000000006</v>
      </c>
      <c r="R38" s="106">
        <f>'Pasture 4'!C30</f>
        <v>12.662301587301586</v>
      </c>
      <c r="S38" s="106">
        <f>'Pasture 5N'!C27</f>
        <v>84.976612903225814</v>
      </c>
      <c r="T38" s="106"/>
      <c r="U38" s="106"/>
      <c r="V38" s="106"/>
      <c r="W38" s="106"/>
      <c r="X38" s="106">
        <f>'Pasture 6A'!C30</f>
        <v>89.09999999999998</v>
      </c>
      <c r="Y38" s="106">
        <f>'Pasture 6B'!C30</f>
        <v>66.283333333333346</v>
      </c>
      <c r="Z38" s="106">
        <f>'Pasture 6C'!C30</f>
        <v>11.066666666666668</v>
      </c>
      <c r="AA38" s="106"/>
      <c r="AB38" s="106"/>
      <c r="AC38" s="106">
        <f>'Pasture 8'!C31</f>
        <v>14.566666666666665</v>
      </c>
      <c r="AD38" s="106">
        <f>'Pasture 9'!C37</f>
        <v>26.908333333333342</v>
      </c>
      <c r="AE38" s="106">
        <f>'Pasture 10'!C37</f>
        <v>21.233333333333331</v>
      </c>
      <c r="AF38" s="106"/>
      <c r="AG38" s="106">
        <f>'Pasture 11A'!C24</f>
        <v>10.741666666666667</v>
      </c>
      <c r="AH38" s="106">
        <f>'Pasture 11B'!C24</f>
        <v>2.4416666666666664</v>
      </c>
      <c r="AI38" s="106"/>
      <c r="AJ38" s="106"/>
      <c r="AK38" s="106">
        <f>'Pasture 12A'!C21</f>
        <v>35.833333333333336</v>
      </c>
      <c r="AL38" s="106">
        <f>'Pasture 12B'!C21</f>
        <v>44.75</v>
      </c>
      <c r="AM38" s="106"/>
      <c r="AN38" s="106"/>
      <c r="AO38" s="106"/>
      <c r="AP38" s="106">
        <f>'Pasture 15'!C17</f>
        <v>31.483333333333334</v>
      </c>
      <c r="AQ38" s="106">
        <f>'Pasture 140'!C5</f>
        <v>1.9416666666666664</v>
      </c>
      <c r="AR38" s="112"/>
      <c r="AS38" s="107">
        <f t="shared" si="0"/>
        <v>1943</v>
      </c>
      <c r="AT38" s="106">
        <f t="shared" si="1"/>
        <v>646.43721198156697</v>
      </c>
      <c r="AU38" s="108">
        <f>'Percent Area'!AT37</f>
        <v>19521.409</v>
      </c>
      <c r="AV38" s="109">
        <f t="shared" si="2"/>
        <v>3.311427018313929E-2</v>
      </c>
      <c r="AW38" s="110">
        <f t="shared" si="3"/>
        <v>1.3401161547203274E-2</v>
      </c>
      <c r="AX38" s="111">
        <f t="shared" si="4"/>
        <v>1.3401161547203273</v>
      </c>
    </row>
    <row r="39" spans="1:50" x14ac:dyDescent="0.3">
      <c r="A39" s="105">
        <v>1944</v>
      </c>
      <c r="B39" s="106">
        <f>'Pasture 1'!C39</f>
        <v>19.200716845878137</v>
      </c>
      <c r="C39" s="106">
        <f>'Pasture 2N'!C31</f>
        <v>131.48333333333335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>
        <f>'Pasture 3'!C25</f>
        <v>17.316666666666666</v>
      </c>
      <c r="R39" s="106">
        <f>'Pasture 4'!C31</f>
        <v>19.152777777777779</v>
      </c>
      <c r="S39" s="106">
        <f>'Pasture 5N'!C28</f>
        <v>100.94516129032257</v>
      </c>
      <c r="T39" s="106"/>
      <c r="U39" s="106"/>
      <c r="V39" s="106"/>
      <c r="W39" s="106"/>
      <c r="X39" s="106">
        <f>'Pasture 6A'!C31</f>
        <v>88.966666666666683</v>
      </c>
      <c r="Y39" s="106">
        <f>'Pasture 6B'!C31</f>
        <v>66.683333333333323</v>
      </c>
      <c r="Z39" s="106">
        <f>'Pasture 6C'!C31</f>
        <v>12.891666666666666</v>
      </c>
      <c r="AA39" s="106"/>
      <c r="AB39" s="106"/>
      <c r="AC39" s="106">
        <f>'Pasture 8'!C32</f>
        <v>20.533333333333331</v>
      </c>
      <c r="AD39" s="106">
        <f>'Pasture 9'!C38</f>
        <v>26.491666666666664</v>
      </c>
      <c r="AE39" s="106">
        <f>'Pasture 10'!C38</f>
        <v>10.141666666666667</v>
      </c>
      <c r="AF39" s="106"/>
      <c r="AG39" s="106">
        <f>'Pasture 11A'!C25</f>
        <v>4.0333333333333332</v>
      </c>
      <c r="AH39" s="106">
        <f>'Pasture 11B'!C25</f>
        <v>0</v>
      </c>
      <c r="AI39" s="106"/>
      <c r="AJ39" s="106"/>
      <c r="AK39" s="106">
        <f>'Pasture 12A'!C22</f>
        <v>30.625</v>
      </c>
      <c r="AL39" s="106">
        <f>'Pasture 12B'!C22</f>
        <v>29.441666666666666</v>
      </c>
      <c r="AM39" s="106"/>
      <c r="AN39" s="106"/>
      <c r="AO39" s="106"/>
      <c r="AP39" s="106">
        <f>'Pasture 15'!C18</f>
        <v>29.816666666666666</v>
      </c>
      <c r="AQ39" s="106">
        <f>'Pasture 140'!C6</f>
        <v>1.1500000000000001</v>
      </c>
      <c r="AR39" s="112"/>
      <c r="AS39" s="107">
        <f t="shared" si="0"/>
        <v>1944</v>
      </c>
      <c r="AT39" s="106">
        <f t="shared" si="1"/>
        <v>608.87365591397861</v>
      </c>
      <c r="AU39" s="108">
        <f>'Percent Area'!AT38</f>
        <v>19521.409</v>
      </c>
      <c r="AV39" s="109">
        <f t="shared" si="2"/>
        <v>3.1190046574710802E-2</v>
      </c>
      <c r="AW39" s="110">
        <f t="shared" si="3"/>
        <v>1.2622438921372239E-2</v>
      </c>
      <c r="AX39" s="111">
        <f t="shared" si="4"/>
        <v>1.2622438921372239</v>
      </c>
    </row>
    <row r="40" spans="1:50" x14ac:dyDescent="0.3">
      <c r="A40" s="105">
        <v>1945</v>
      </c>
      <c r="B40" s="106">
        <f>'Pasture 1'!C40</f>
        <v>23.844982078853047</v>
      </c>
      <c r="C40" s="106">
        <f>'Pasture 2N'!C32</f>
        <v>129.70000000000002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>
        <f>'Pasture 3'!C26</f>
        <v>12.991666666666669</v>
      </c>
      <c r="R40" s="106">
        <f>'Pasture 4'!C32</f>
        <v>22.500537634408602</v>
      </c>
      <c r="S40" s="106">
        <f>'Pasture 5N'!C29</f>
        <v>104.14964157706093</v>
      </c>
      <c r="T40" s="106"/>
      <c r="U40" s="106"/>
      <c r="V40" s="106"/>
      <c r="W40" s="106"/>
      <c r="X40" s="106">
        <f>'Pasture 6A'!C32</f>
        <v>88.341666666666654</v>
      </c>
      <c r="Y40" s="106">
        <f>'Pasture 6B'!C32</f>
        <v>76.133333333333326</v>
      </c>
      <c r="Z40" s="106">
        <f>'Pasture 6C'!C32</f>
        <v>8.2166666666666668</v>
      </c>
      <c r="AA40" s="106"/>
      <c r="AB40" s="106"/>
      <c r="AC40" s="106">
        <f>'Pasture 8'!C33</f>
        <v>22.45</v>
      </c>
      <c r="AD40" s="106">
        <f>'Pasture 9'!C39</f>
        <v>25.8</v>
      </c>
      <c r="AE40" s="106">
        <f>'Pasture 10'!C39</f>
        <v>15.575000000000003</v>
      </c>
      <c r="AF40" s="106"/>
      <c r="AG40" s="106">
        <f>'Pasture 11A'!C26</f>
        <v>8.6166666666666671</v>
      </c>
      <c r="AH40" s="106">
        <f>'Pasture 11B'!C26</f>
        <v>0</v>
      </c>
      <c r="AI40" s="106"/>
      <c r="AJ40" s="106"/>
      <c r="AK40" s="106">
        <f>'Pasture 12A'!C23</f>
        <v>30.950000000000003</v>
      </c>
      <c r="AL40" s="106">
        <f>'Pasture 12B'!C23</f>
        <v>17.358333333333331</v>
      </c>
      <c r="AM40" s="106"/>
      <c r="AN40" s="106"/>
      <c r="AO40" s="106"/>
      <c r="AP40" s="106">
        <f>'Pasture 15'!C19</f>
        <v>27.133333333333336</v>
      </c>
      <c r="AQ40" s="106">
        <f>'Pasture 140'!C7</f>
        <v>0.43333333333333335</v>
      </c>
      <c r="AR40" s="112"/>
      <c r="AS40" s="107">
        <f t="shared" si="0"/>
        <v>1945</v>
      </c>
      <c r="AT40" s="106">
        <f t="shared" si="1"/>
        <v>614.19516129032252</v>
      </c>
      <c r="AU40" s="108">
        <f>'Percent Area'!AT39</f>
        <v>19521.409</v>
      </c>
      <c r="AV40" s="109">
        <f t="shared" si="2"/>
        <v>3.1462645001204707E-2</v>
      </c>
      <c r="AW40" s="110">
        <f t="shared" si="3"/>
        <v>1.2732757993203038E-2</v>
      </c>
      <c r="AX40" s="111">
        <f t="shared" si="4"/>
        <v>1.2732757993203039</v>
      </c>
    </row>
    <row r="41" spans="1:50" x14ac:dyDescent="0.3">
      <c r="A41" s="105">
        <v>1946</v>
      </c>
      <c r="B41" s="106">
        <f>'Pasture 1'!C41</f>
        <v>19.682974910394265</v>
      </c>
      <c r="C41" s="106">
        <f>'Pasture 2N'!C33</f>
        <v>105.85833333333333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>
        <f>'Pasture 3'!C27</f>
        <v>27.791666666666668</v>
      </c>
      <c r="R41" s="106">
        <f>'Pasture 4'!C33</f>
        <v>18.8406490015361</v>
      </c>
      <c r="S41" s="106">
        <f>'Pasture 5N'!C30</f>
        <v>113.60833333333333</v>
      </c>
      <c r="T41" s="106"/>
      <c r="U41" s="106"/>
      <c r="V41" s="106"/>
      <c r="W41" s="106"/>
      <c r="X41" s="106">
        <f>'Pasture 6A'!C33</f>
        <v>89.975000000000009</v>
      </c>
      <c r="Y41" s="106">
        <f>'Pasture 6B'!C33</f>
        <v>82.041666666666671</v>
      </c>
      <c r="Z41" s="106">
        <f>'Pasture 6C'!C33</f>
        <v>9.4416666666666664</v>
      </c>
      <c r="AA41" s="106"/>
      <c r="AB41" s="106"/>
      <c r="AC41" s="106">
        <f>'Pasture 8'!C34</f>
        <v>22.633333333333336</v>
      </c>
      <c r="AD41" s="106">
        <f>'Pasture 9'!C40</f>
        <v>29.666666666666661</v>
      </c>
      <c r="AE41" s="106">
        <f>'Pasture 10'!C40</f>
        <v>13.75</v>
      </c>
      <c r="AF41" s="106"/>
      <c r="AG41" s="106">
        <f>'Pasture 11A'!C27</f>
        <v>12.666666666666666</v>
      </c>
      <c r="AH41" s="106">
        <f>'Pasture 11B'!C27</f>
        <v>4.6166666666666671</v>
      </c>
      <c r="AI41" s="106"/>
      <c r="AJ41" s="106"/>
      <c r="AK41" s="106">
        <f>'Pasture 12A'!C24</f>
        <v>34.041666666666671</v>
      </c>
      <c r="AL41" s="106">
        <f>'Pasture 12B'!C24</f>
        <v>32.116666666666667</v>
      </c>
      <c r="AM41" s="106"/>
      <c r="AN41" s="106"/>
      <c r="AO41" s="106"/>
      <c r="AP41" s="106">
        <f>'Pasture 15'!C20</f>
        <v>39.483333333333334</v>
      </c>
      <c r="AQ41" s="106">
        <f>'Pasture 140'!C8</f>
        <v>2.8000000000000003</v>
      </c>
      <c r="AR41" s="112"/>
      <c r="AS41" s="107">
        <f t="shared" si="0"/>
        <v>1946</v>
      </c>
      <c r="AT41" s="106">
        <f t="shared" si="1"/>
        <v>659.01529057859693</v>
      </c>
      <c r="AU41" s="108">
        <f>'Percent Area'!AT40</f>
        <v>19521.409</v>
      </c>
      <c r="AV41" s="109">
        <f t="shared" si="2"/>
        <v>3.3758592455011671E-2</v>
      </c>
      <c r="AW41" s="110">
        <f t="shared" si="3"/>
        <v>1.3661915198305006E-2</v>
      </c>
      <c r="AX41" s="111">
        <f t="shared" si="4"/>
        <v>1.3661915198305006</v>
      </c>
    </row>
    <row r="42" spans="1:50" x14ac:dyDescent="0.3">
      <c r="A42" s="105">
        <v>1947</v>
      </c>
      <c r="B42" s="106">
        <f>'Pasture 1'!C42</f>
        <v>22.027764976958522</v>
      </c>
      <c r="C42" s="106">
        <f>'Pasture 2N'!C34</f>
        <v>98.90000000000002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>
        <f>'Pasture 3'!C28</f>
        <v>36.875</v>
      </c>
      <c r="R42" s="106">
        <f>'Pasture 4'!C34</f>
        <v>19.390668202764974</v>
      </c>
      <c r="S42" s="106">
        <f>'Pasture 5N'!C31</f>
        <v>110.26370967741934</v>
      </c>
      <c r="T42" s="106"/>
      <c r="U42" s="106"/>
      <c r="V42" s="106"/>
      <c r="W42" s="106"/>
      <c r="X42" s="106">
        <f>'Pasture 6A'!C34</f>
        <v>83.558333333333323</v>
      </c>
      <c r="Y42" s="106">
        <f>'Pasture 6B'!C34</f>
        <v>84.858333333333334</v>
      </c>
      <c r="Z42" s="106">
        <f>'Pasture 6C'!C34</f>
        <v>10.741666666666667</v>
      </c>
      <c r="AA42" s="106"/>
      <c r="AB42" s="106"/>
      <c r="AC42" s="106">
        <f>'Pasture 8'!C35</f>
        <v>20.633333333333333</v>
      </c>
      <c r="AD42" s="106">
        <f>'Pasture 9'!C41</f>
        <v>27.108333333333334</v>
      </c>
      <c r="AE42" s="106">
        <f>'Pasture 10'!C41</f>
        <v>14.733333333333334</v>
      </c>
      <c r="AF42" s="106"/>
      <c r="AG42" s="106">
        <f>'Pasture 11A'!C28</f>
        <v>8.1749999999999989</v>
      </c>
      <c r="AH42" s="106">
        <f>'Pasture 11B'!C28</f>
        <v>2.6333333333333333</v>
      </c>
      <c r="AI42" s="106"/>
      <c r="AJ42" s="106"/>
      <c r="AK42" s="106">
        <f>'Pasture 12A'!C25</f>
        <v>39.799999999999997</v>
      </c>
      <c r="AL42" s="106">
        <f>'Pasture 12B'!C25</f>
        <v>43.708333333333336</v>
      </c>
      <c r="AM42" s="106"/>
      <c r="AN42" s="106"/>
      <c r="AO42" s="106"/>
      <c r="AP42" s="106">
        <f>'Pasture 15'!C21</f>
        <v>20</v>
      </c>
      <c r="AQ42" s="106">
        <f>'Pasture 140'!C9</f>
        <v>0.2583333333333333</v>
      </c>
      <c r="AR42" s="112"/>
      <c r="AS42" s="107">
        <f t="shared" si="0"/>
        <v>1947</v>
      </c>
      <c r="AT42" s="106">
        <f t="shared" si="1"/>
        <v>643.66547619047617</v>
      </c>
      <c r="AU42" s="108">
        <f>'Percent Area'!AT41</f>
        <v>19521.409</v>
      </c>
      <c r="AV42" s="109">
        <f t="shared" si="2"/>
        <v>3.2972285770482869E-2</v>
      </c>
      <c r="AW42" s="110">
        <f t="shared" si="3"/>
        <v>1.3343701242607394E-2</v>
      </c>
      <c r="AX42" s="111">
        <f t="shared" si="4"/>
        <v>1.3343701242607393</v>
      </c>
    </row>
    <row r="43" spans="1:50" x14ac:dyDescent="0.3">
      <c r="A43" s="105">
        <v>1948</v>
      </c>
      <c r="B43" s="106">
        <f>'Pasture 1'!C43</f>
        <v>13.302777777777777</v>
      </c>
      <c r="C43" s="106">
        <f>'Pasture 2N'!C35</f>
        <v>104.80000000000001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>
        <f>'Pasture 3'!C29</f>
        <v>32.741666666666667</v>
      </c>
      <c r="R43" s="106">
        <f>'Pasture 4'!C35</f>
        <v>17.711559139784949</v>
      </c>
      <c r="S43" s="106">
        <f>'Pasture 5N'!C32</f>
        <v>77.240770609319</v>
      </c>
      <c r="T43" s="106"/>
      <c r="U43" s="106"/>
      <c r="V43" s="106"/>
      <c r="W43" s="106"/>
      <c r="X43" s="106">
        <f>'Pasture 6A'!C35</f>
        <v>61.483333333333341</v>
      </c>
      <c r="Y43" s="106">
        <f>'Pasture 6B'!C35</f>
        <v>76.108333333333334</v>
      </c>
      <c r="Z43" s="106">
        <f>'Pasture 6C'!C35</f>
        <v>5.375</v>
      </c>
      <c r="AA43" s="106"/>
      <c r="AB43" s="106"/>
      <c r="AC43" s="106">
        <f>'Pasture 8'!C36</f>
        <v>18.541666666666668</v>
      </c>
      <c r="AD43" s="106">
        <f>'Pasture 9'!C42</f>
        <v>25.141666666666669</v>
      </c>
      <c r="AE43" s="106">
        <f>'Pasture 10'!C42</f>
        <v>14.475000000000001</v>
      </c>
      <c r="AF43" s="106"/>
      <c r="AG43" s="106">
        <f>'Pasture 11A'!C29</f>
        <v>11.016666666666666</v>
      </c>
      <c r="AH43" s="106">
        <f>'Pasture 11B'!C29</f>
        <v>2.5500000000000003</v>
      </c>
      <c r="AI43" s="106"/>
      <c r="AJ43" s="106"/>
      <c r="AK43" s="106">
        <f>'Pasture 12A'!C26</f>
        <v>45.199999999999996</v>
      </c>
      <c r="AL43" s="106">
        <f>'Pasture 12B'!C26</f>
        <v>58.574999999999996</v>
      </c>
      <c r="AM43" s="106"/>
      <c r="AN43" s="106"/>
      <c r="AO43" s="106"/>
      <c r="AP43" s="106">
        <f>'Pasture 15'!C22</f>
        <v>13.683333333333332</v>
      </c>
      <c r="AQ43" s="106">
        <f>'Pasture 140'!C10</f>
        <v>1.0916666666666666</v>
      </c>
      <c r="AR43" s="112"/>
      <c r="AS43" s="107">
        <f t="shared" si="0"/>
        <v>1948</v>
      </c>
      <c r="AT43" s="106">
        <f t="shared" si="1"/>
        <v>579.03844086021513</v>
      </c>
      <c r="AU43" s="108">
        <f>'Percent Area'!AT42</f>
        <v>19521.409</v>
      </c>
      <c r="AV43" s="109">
        <f t="shared" si="2"/>
        <v>2.966171349927739E-2</v>
      </c>
      <c r="AW43" s="110">
        <f t="shared" si="3"/>
        <v>1.2003930999302869E-2</v>
      </c>
      <c r="AX43" s="111">
        <f t="shared" si="4"/>
        <v>1.200393099930287</v>
      </c>
    </row>
    <row r="44" spans="1:50" x14ac:dyDescent="0.3">
      <c r="A44" s="105">
        <v>1949</v>
      </c>
      <c r="B44" s="106">
        <f>'Pasture 1'!C44</f>
        <v>6.1240143369175621</v>
      </c>
      <c r="C44" s="106">
        <f>'Pasture 2N'!C36</f>
        <v>108.51666666666667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>
        <f>'Pasture 3'!C30</f>
        <v>39.466666666666661</v>
      </c>
      <c r="R44" s="106">
        <f>'Pasture 4'!C36</f>
        <v>16.95</v>
      </c>
      <c r="S44" s="106">
        <f>'Pasture 5N'!C33</f>
        <v>78.169892473118281</v>
      </c>
      <c r="T44" s="106"/>
      <c r="U44" s="106"/>
      <c r="V44" s="106"/>
      <c r="W44" s="106"/>
      <c r="X44" s="106">
        <f>'Pasture 6A'!C36</f>
        <v>54.066666666666663</v>
      </c>
      <c r="Y44" s="106">
        <f>'Pasture 6B'!C36</f>
        <v>76.808333333333323</v>
      </c>
      <c r="Z44" s="106">
        <f>'Pasture 6C'!C36</f>
        <v>7.666666666666667</v>
      </c>
      <c r="AA44" s="106"/>
      <c r="AB44" s="106"/>
      <c r="AC44" s="106">
        <f>'Pasture 8'!C37</f>
        <v>20.116666666666671</v>
      </c>
      <c r="AD44" s="106">
        <f>'Pasture 9'!C43</f>
        <v>15.366666666666667</v>
      </c>
      <c r="AE44" s="106">
        <f>'Pasture 10'!C43</f>
        <v>10.308333333333334</v>
      </c>
      <c r="AF44" s="106"/>
      <c r="AG44" s="106">
        <f>'Pasture 11A'!C30</f>
        <v>5.05</v>
      </c>
      <c r="AH44" s="106">
        <f>'Pasture 11B'!C30</f>
        <v>1.7416666666666665</v>
      </c>
      <c r="AI44" s="106"/>
      <c r="AJ44" s="106"/>
      <c r="AK44" s="106">
        <f>'Pasture 12A'!C27</f>
        <v>31.108333333333334</v>
      </c>
      <c r="AL44" s="106">
        <f>'Pasture 12B'!C27</f>
        <v>32.700000000000003</v>
      </c>
      <c r="AM44" s="106"/>
      <c r="AN44" s="106"/>
      <c r="AO44" s="106"/>
      <c r="AP44" s="106">
        <f>'Pasture 15'!C23</f>
        <v>29.733333333333334</v>
      </c>
      <c r="AQ44" s="106">
        <f>'Pasture 140'!C11</f>
        <v>0.3</v>
      </c>
      <c r="AR44" s="112"/>
      <c r="AS44" s="107">
        <f t="shared" si="0"/>
        <v>1949</v>
      </c>
      <c r="AT44" s="106">
        <f t="shared" si="1"/>
        <v>534.19390681003586</v>
      </c>
      <c r="AU44" s="108">
        <f>'Percent Area'!AT43</f>
        <v>19521.409</v>
      </c>
      <c r="AV44" s="109">
        <f t="shared" si="2"/>
        <v>2.7364515891759447E-2</v>
      </c>
      <c r="AW44" s="110">
        <f t="shared" si="3"/>
        <v>1.1074267863925312E-2</v>
      </c>
      <c r="AX44" s="111">
        <f t="shared" si="4"/>
        <v>1.1074267863925311</v>
      </c>
    </row>
    <row r="45" spans="1:50" x14ac:dyDescent="0.3">
      <c r="A45" s="105">
        <v>1950</v>
      </c>
      <c r="B45" s="106">
        <f>'Pasture 1'!C45</f>
        <v>21.728853046594981</v>
      </c>
      <c r="C45" s="106">
        <f>'Pasture 2N'!C37</f>
        <v>135.41666666666666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>
        <f>'Pasture 3'!C31</f>
        <v>36.975000000000001</v>
      </c>
      <c r="R45" s="106">
        <f>'Pasture 4'!C37</f>
        <v>11.569982078853046</v>
      </c>
      <c r="S45" s="106">
        <f>'Pasture 5N'!C34</f>
        <v>86.758333333333326</v>
      </c>
      <c r="T45" s="106"/>
      <c r="U45" s="106"/>
      <c r="V45" s="106"/>
      <c r="W45" s="106"/>
      <c r="X45" s="106">
        <f>'Pasture 6A'!C37</f>
        <v>63.533333333333331</v>
      </c>
      <c r="Y45" s="106">
        <f>'Pasture 6B'!C37</f>
        <v>82.50833333333334</v>
      </c>
      <c r="Z45" s="106">
        <f>'Pasture 6C'!C37</f>
        <v>7.7750000000000012</v>
      </c>
      <c r="AA45" s="106"/>
      <c r="AB45" s="106"/>
      <c r="AC45" s="106">
        <f>'Pasture 8'!C38</f>
        <v>21.516666666666669</v>
      </c>
      <c r="AD45" s="106">
        <f>'Pasture 9'!C44</f>
        <v>15.566666666666665</v>
      </c>
      <c r="AE45" s="106">
        <f>'Pasture 10'!C44</f>
        <v>10.641666666666667</v>
      </c>
      <c r="AF45" s="106"/>
      <c r="AG45" s="106">
        <f>'Pasture 11A'!C31</f>
        <v>8.0333333333333332</v>
      </c>
      <c r="AH45" s="106">
        <f>'Pasture 11B'!C31</f>
        <v>0.19166666666666665</v>
      </c>
      <c r="AI45" s="106"/>
      <c r="AJ45" s="106"/>
      <c r="AK45" s="106">
        <f>'Pasture 12A'!C28</f>
        <v>15.700000000000001</v>
      </c>
      <c r="AL45" s="106">
        <f>'Pasture 12B'!C28</f>
        <v>15.6</v>
      </c>
      <c r="AM45" s="106"/>
      <c r="AN45" s="106"/>
      <c r="AO45" s="106"/>
      <c r="AP45" s="106">
        <f>'Pasture 15'!C24</f>
        <v>34.091666666666661</v>
      </c>
      <c r="AQ45" s="106">
        <f>'Pasture 140'!C12</f>
        <v>4.1666666666666664E-2</v>
      </c>
      <c r="AR45" s="112"/>
      <c r="AS45" s="107">
        <f t="shared" si="0"/>
        <v>1950</v>
      </c>
      <c r="AT45" s="106">
        <f t="shared" si="1"/>
        <v>567.64883512544793</v>
      </c>
      <c r="AU45" s="108">
        <f>'Percent Area'!AT44</f>
        <v>19521.409</v>
      </c>
      <c r="AV45" s="109">
        <f t="shared" si="2"/>
        <v>2.9078271713145701E-2</v>
      </c>
      <c r="AW45" s="110">
        <f t="shared" si="3"/>
        <v>1.1767815343239863E-2</v>
      </c>
      <c r="AX45" s="111">
        <f t="shared" si="4"/>
        <v>1.1767815343239862</v>
      </c>
    </row>
    <row r="46" spans="1:50" x14ac:dyDescent="0.3">
      <c r="A46" s="105">
        <v>1951</v>
      </c>
      <c r="B46" s="106">
        <f>'Pasture 1'!C46</f>
        <v>20.1547363031234</v>
      </c>
      <c r="C46" s="106">
        <f>'Pasture 2N'!C38</f>
        <v>135.53333333333333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>
        <f>'Pasture 3'!C32</f>
        <v>35.141666666666673</v>
      </c>
      <c r="R46" s="106">
        <f>'Pasture 4'!C38</f>
        <v>15.245519713261649</v>
      </c>
      <c r="S46" s="106">
        <f>'Pasture 5N'!C35</f>
        <v>92.358333333333334</v>
      </c>
      <c r="T46" s="106"/>
      <c r="U46" s="106"/>
      <c r="V46" s="106"/>
      <c r="W46" s="106"/>
      <c r="X46" s="106">
        <f>'Pasture 6A'!C38</f>
        <v>72.00833333333334</v>
      </c>
      <c r="Y46" s="106">
        <f>'Pasture 6B'!C38</f>
        <v>93.491666666666674</v>
      </c>
      <c r="Z46" s="106">
        <f>'Pasture 6C'!C38</f>
        <v>6.6000000000000005</v>
      </c>
      <c r="AA46" s="106"/>
      <c r="AB46" s="106"/>
      <c r="AC46" s="106">
        <f>'Pasture 8'!C39</f>
        <v>25.991666666666671</v>
      </c>
      <c r="AD46" s="106">
        <f>'Pasture 9'!C45</f>
        <v>22.058333333333337</v>
      </c>
      <c r="AE46" s="106">
        <f>'Pasture 10'!C45</f>
        <v>13.958333333333334</v>
      </c>
      <c r="AF46" s="106"/>
      <c r="AG46" s="106">
        <f>'Pasture 11A'!C32</f>
        <v>6.9083333333333323</v>
      </c>
      <c r="AH46" s="106">
        <f>'Pasture 11B'!C32</f>
        <v>4.708333333333333</v>
      </c>
      <c r="AI46" s="106"/>
      <c r="AJ46" s="106"/>
      <c r="AK46" s="106">
        <f>'Pasture 12A'!C29</f>
        <v>36.799999999999997</v>
      </c>
      <c r="AL46" s="106">
        <f>'Pasture 12B'!C29</f>
        <v>33.141666666666659</v>
      </c>
      <c r="AM46" s="106"/>
      <c r="AN46" s="106"/>
      <c r="AO46" s="106"/>
      <c r="AP46" s="106">
        <f>'Pasture 15'!C25</f>
        <v>35.783333333333331</v>
      </c>
      <c r="AQ46" s="106">
        <f>'Pasture 140'!C13</f>
        <v>0.33333333333333331</v>
      </c>
      <c r="AR46" s="112"/>
      <c r="AS46" s="107">
        <f t="shared" si="0"/>
        <v>1951</v>
      </c>
      <c r="AT46" s="106">
        <f t="shared" si="1"/>
        <v>650.21692268305173</v>
      </c>
      <c r="AU46" s="108">
        <f>'Percent Area'!AT45</f>
        <v>19521.409</v>
      </c>
      <c r="AV46" s="109">
        <f t="shared" si="2"/>
        <v>3.330788892764102E-2</v>
      </c>
      <c r="AW46" s="110">
        <f t="shared" si="3"/>
        <v>1.347951797962E-2</v>
      </c>
      <c r="AX46" s="111">
        <f t="shared" si="4"/>
        <v>1.3479517979619999</v>
      </c>
    </row>
    <row r="47" spans="1:50" x14ac:dyDescent="0.3">
      <c r="A47" s="105">
        <v>1952</v>
      </c>
      <c r="B47" s="106">
        <f>'Pasture 1'!C47</f>
        <v>18.495250896057346</v>
      </c>
      <c r="C47" s="106">
        <f>'Pasture 2N'!C39</f>
        <v>127.60000000000001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>
        <f>'Pasture 3'!C33</f>
        <v>38.733333333333334</v>
      </c>
      <c r="R47" s="106">
        <f>'Pasture 4'!C39</f>
        <v>22.93225806451613</v>
      </c>
      <c r="S47" s="106">
        <f>'Pasture 5N'!C36</f>
        <v>103.06460573476703</v>
      </c>
      <c r="T47" s="106"/>
      <c r="U47" s="106"/>
      <c r="V47" s="106"/>
      <c r="W47" s="106"/>
      <c r="X47" s="106">
        <f>'Pasture 6A'!C39</f>
        <v>78.008333333333326</v>
      </c>
      <c r="Y47" s="106">
        <f>'Pasture 6B'!C39</f>
        <v>107.875</v>
      </c>
      <c r="Z47" s="106">
        <f>'Pasture 6C'!C39</f>
        <v>7.4916666666666671</v>
      </c>
      <c r="AA47" s="106"/>
      <c r="AB47" s="106"/>
      <c r="AC47" s="106">
        <f>'Pasture 8'!C40</f>
        <v>24.733333333333334</v>
      </c>
      <c r="AD47" s="106">
        <f>'Pasture 9'!C46</f>
        <v>20.533333333333335</v>
      </c>
      <c r="AE47" s="106">
        <f>'Pasture 10'!C46</f>
        <v>15.291666666666666</v>
      </c>
      <c r="AF47" s="106"/>
      <c r="AG47" s="106">
        <f>'Pasture 11A'!C33</f>
        <v>3.6750000000000003</v>
      </c>
      <c r="AH47" s="106">
        <f>'Pasture 11B'!C33</f>
        <v>0.17500000000000002</v>
      </c>
      <c r="AI47" s="106"/>
      <c r="AJ47" s="106"/>
      <c r="AK47" s="106">
        <f>'Pasture 12A'!C30</f>
        <v>39.958333333333336</v>
      </c>
      <c r="AL47" s="106">
        <f>'Pasture 12B'!C30</f>
        <v>35.483333333333327</v>
      </c>
      <c r="AM47" s="106"/>
      <c r="AN47" s="106"/>
      <c r="AO47" s="106"/>
      <c r="AP47" s="106">
        <f>'Pasture 15'!C26</f>
        <v>45.208333333333336</v>
      </c>
      <c r="AQ47" s="106">
        <f>'Pasture 140'!C14</f>
        <v>0</v>
      </c>
      <c r="AR47" s="112"/>
      <c r="AS47" s="107">
        <f t="shared" si="0"/>
        <v>1952</v>
      </c>
      <c r="AT47" s="106">
        <f t="shared" si="1"/>
        <v>689.25878136200708</v>
      </c>
      <c r="AU47" s="108">
        <f>'Percent Area'!AT46</f>
        <v>19521.409</v>
      </c>
      <c r="AV47" s="109">
        <f t="shared" si="2"/>
        <v>3.5307839785642885E-2</v>
      </c>
      <c r="AW47" s="110">
        <f t="shared" si="3"/>
        <v>1.4288887003497727E-2</v>
      </c>
      <c r="AX47" s="111">
        <f t="shared" si="4"/>
        <v>1.4288887003497726</v>
      </c>
    </row>
    <row r="48" spans="1:50" x14ac:dyDescent="0.3">
      <c r="A48" s="105">
        <v>1953</v>
      </c>
      <c r="B48" s="106">
        <f>'Pasture 1'!C48</f>
        <v>18.518279569892474</v>
      </c>
      <c r="C48" s="106">
        <f>'Pasture 2N'!C40</f>
        <v>112.73333333333331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>
        <f>'Pasture 3'!C34</f>
        <v>20.075000000000003</v>
      </c>
      <c r="R48" s="106">
        <f>'Pasture 4'!C40</f>
        <v>21.119086021505378</v>
      </c>
      <c r="S48" s="106">
        <f>'Pasture 5N'!C37</f>
        <v>99.785714285714278</v>
      </c>
      <c r="T48" s="106"/>
      <c r="U48" s="106"/>
      <c r="V48" s="106"/>
      <c r="W48" s="106"/>
      <c r="X48" s="106">
        <f>'Pasture 6A'!C40</f>
        <v>65.45</v>
      </c>
      <c r="Y48" s="106">
        <f>'Pasture 6B'!C40</f>
        <v>103.22500000000001</v>
      </c>
      <c r="Z48" s="106">
        <f>'Pasture 6C'!C40</f>
        <v>11.858333333333334</v>
      </c>
      <c r="AA48" s="106"/>
      <c r="AB48" s="106"/>
      <c r="AC48" s="106">
        <f>'Pasture 8'!C41</f>
        <v>23.374999999999996</v>
      </c>
      <c r="AD48" s="106">
        <f>'Pasture 9'!C47</f>
        <v>18.433333333333334</v>
      </c>
      <c r="AE48" s="106">
        <f>'Pasture 10'!C47</f>
        <v>16.483333333333334</v>
      </c>
      <c r="AF48" s="106"/>
      <c r="AG48" s="106">
        <f>'Pasture 11A'!C34</f>
        <v>7.875</v>
      </c>
      <c r="AH48" s="106">
        <f>'Pasture 11B'!C34</f>
        <v>1.3416666666666668</v>
      </c>
      <c r="AI48" s="106"/>
      <c r="AJ48" s="106"/>
      <c r="AK48" s="106">
        <f>'Pasture 12A'!C31</f>
        <v>38.81666666666667</v>
      </c>
      <c r="AL48" s="106">
        <f>'Pasture 12B'!C31</f>
        <v>29.958333333333329</v>
      </c>
      <c r="AM48" s="106"/>
      <c r="AN48" s="106"/>
      <c r="AO48" s="106"/>
      <c r="AP48" s="106">
        <f>'Pasture 15'!C27</f>
        <v>43.716666666666669</v>
      </c>
      <c r="AQ48" s="106">
        <f>'Pasture 140'!C15</f>
        <v>0</v>
      </c>
      <c r="AR48" s="112"/>
      <c r="AS48" s="107">
        <f t="shared" si="0"/>
        <v>1953</v>
      </c>
      <c r="AT48" s="106">
        <f t="shared" si="1"/>
        <v>632.76474654377898</v>
      </c>
      <c r="AU48" s="108">
        <f>'Percent Area'!AT47</f>
        <v>19521.409</v>
      </c>
      <c r="AV48" s="109">
        <f t="shared" si="2"/>
        <v>3.2413887058243544E-2</v>
      </c>
      <c r="AW48" s="110">
        <f t="shared" si="3"/>
        <v>1.311772037970196E-2</v>
      </c>
      <c r="AX48" s="111">
        <f t="shared" si="4"/>
        <v>1.311772037970196</v>
      </c>
    </row>
    <row r="49" spans="1:50" x14ac:dyDescent="0.3">
      <c r="A49" s="105">
        <v>1954</v>
      </c>
      <c r="B49" s="106">
        <f>'Pasture 1'!C49</f>
        <v>10.403584229390683</v>
      </c>
      <c r="C49" s="106">
        <f>'Pasture 2N'!C41</f>
        <v>92.725000000000009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>
        <f>'Pasture 3'!C35</f>
        <v>9.0333333333333332</v>
      </c>
      <c r="R49" s="106">
        <f>'Pasture 4'!C41</f>
        <v>12.158000512032771</v>
      </c>
      <c r="S49" s="106">
        <f>'Pasture 5N'!C38</f>
        <v>90.079928315412189</v>
      </c>
      <c r="T49" s="106"/>
      <c r="U49" s="106"/>
      <c r="V49" s="106"/>
      <c r="W49" s="106"/>
      <c r="X49" s="106">
        <f>'Pasture 6A'!C41</f>
        <v>64.941666666666663</v>
      </c>
      <c r="Y49" s="106">
        <f>'Pasture 6B'!C41</f>
        <v>101.80833333333334</v>
      </c>
      <c r="Z49" s="106">
        <f>'Pasture 6C'!C41</f>
        <v>8.7083333333333339</v>
      </c>
      <c r="AA49" s="106"/>
      <c r="AB49" s="106"/>
      <c r="AC49" s="106">
        <f>'Pasture 8'!C42</f>
        <v>24.533333333333331</v>
      </c>
      <c r="AD49" s="106">
        <f>'Pasture 9'!C48</f>
        <v>21.424999999999997</v>
      </c>
      <c r="AE49" s="106">
        <f>'Pasture 10'!C48</f>
        <v>15.125</v>
      </c>
      <c r="AF49" s="106"/>
      <c r="AG49" s="106">
        <f>'Pasture 11A'!C35</f>
        <v>4.875</v>
      </c>
      <c r="AH49" s="106">
        <f>'Pasture 11B'!C35</f>
        <v>0.42499999999999999</v>
      </c>
      <c r="AI49" s="106"/>
      <c r="AJ49" s="106"/>
      <c r="AK49" s="106">
        <f>'Pasture 12A'!C32</f>
        <v>34.475000000000001</v>
      </c>
      <c r="AL49" s="106">
        <f>'Pasture 12B'!C32</f>
        <v>30.083333333333332</v>
      </c>
      <c r="AM49" s="106"/>
      <c r="AN49" s="106"/>
      <c r="AO49" s="106"/>
      <c r="AP49" s="106">
        <f>'Pasture 15'!C28</f>
        <v>58.25</v>
      </c>
      <c r="AQ49" s="106">
        <f>'Pasture 140'!C16</f>
        <v>3.0666666666666664</v>
      </c>
      <c r="AR49" s="112"/>
      <c r="AS49" s="107">
        <f t="shared" si="0"/>
        <v>1954</v>
      </c>
      <c r="AT49" s="106">
        <f t="shared" si="1"/>
        <v>582.11651305683574</v>
      </c>
      <c r="AU49" s="108">
        <f>'Percent Area'!AT48</f>
        <v>19521.409</v>
      </c>
      <c r="AV49" s="109">
        <f t="shared" si="2"/>
        <v>2.9819390242622125E-2</v>
      </c>
      <c r="AW49" s="110">
        <f t="shared" si="3"/>
        <v>1.2067741903125101E-2</v>
      </c>
      <c r="AX49" s="111">
        <f t="shared" si="4"/>
        <v>1.20677419031251</v>
      </c>
    </row>
    <row r="50" spans="1:50" x14ac:dyDescent="0.3">
      <c r="A50" s="105">
        <v>1955</v>
      </c>
      <c r="B50" s="106">
        <f>'Pasture 1'!C50</f>
        <v>16.249193548387098</v>
      </c>
      <c r="C50" s="106">
        <f>'Pasture 2N'!C42</f>
        <v>109.29166666666667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>
        <f>'Pasture 3'!C36</f>
        <v>70.88333333333334</v>
      </c>
      <c r="R50" s="106">
        <f>'Pasture 4'!C42</f>
        <v>21.937455197132618</v>
      </c>
      <c r="S50" s="106">
        <f>'Pasture 5N'!C39</f>
        <v>95.221505376344098</v>
      </c>
      <c r="T50" s="106"/>
      <c r="U50" s="106"/>
      <c r="V50" s="106"/>
      <c r="W50" s="106"/>
      <c r="X50" s="106">
        <f>'Pasture 6A'!C42</f>
        <v>77.849999999999994</v>
      </c>
      <c r="Y50" s="106">
        <f>'Pasture 6B'!C42</f>
        <v>93.27500000000002</v>
      </c>
      <c r="Z50" s="106">
        <f>'Pasture 6C'!C42</f>
        <v>6.5750000000000002</v>
      </c>
      <c r="AA50" s="106"/>
      <c r="AB50" s="106"/>
      <c r="AC50" s="106">
        <f>'Pasture 8'!C43</f>
        <v>22.824999999999999</v>
      </c>
      <c r="AD50" s="106">
        <f>'Pasture 9'!C49</f>
        <v>19.883333333333333</v>
      </c>
      <c r="AE50" s="106">
        <f>'Pasture 10'!C49</f>
        <v>14.966666666666667</v>
      </c>
      <c r="AF50" s="106"/>
      <c r="AG50" s="106">
        <f>'Pasture 11A'!C36</f>
        <v>7.3916666666666657</v>
      </c>
      <c r="AH50" s="106">
        <f>'Pasture 11B'!C36</f>
        <v>3.1916666666666664</v>
      </c>
      <c r="AI50" s="106"/>
      <c r="AJ50" s="106"/>
      <c r="AK50" s="106">
        <f>'Pasture 12A'!C33</f>
        <v>51.724999999999994</v>
      </c>
      <c r="AL50" s="106">
        <f>'Pasture 12B'!C33</f>
        <v>55.366666666666667</v>
      </c>
      <c r="AM50" s="106"/>
      <c r="AN50" s="106"/>
      <c r="AO50" s="106"/>
      <c r="AP50" s="106">
        <f>'Pasture 15'!C29</f>
        <v>71.808333333333337</v>
      </c>
      <c r="AQ50" s="106">
        <f>'Pasture 140'!C17</f>
        <v>2.9083333333333332</v>
      </c>
      <c r="AR50" s="112"/>
      <c r="AS50" s="107">
        <f t="shared" si="0"/>
        <v>1955</v>
      </c>
      <c r="AT50" s="106">
        <f t="shared" si="1"/>
        <v>741.34982078853068</v>
      </c>
      <c r="AU50" s="108">
        <f>'Percent Area'!AT49</f>
        <v>19521.409</v>
      </c>
      <c r="AV50" s="109">
        <f t="shared" si="2"/>
        <v>3.797624550505195E-2</v>
      </c>
      <c r="AW50" s="110">
        <f t="shared" si="3"/>
        <v>1.5368776003663273E-2</v>
      </c>
      <c r="AX50" s="111">
        <f t="shared" si="4"/>
        <v>1.5368776003663274</v>
      </c>
    </row>
    <row r="51" spans="1:50" x14ac:dyDescent="0.3">
      <c r="A51" s="105">
        <v>1956</v>
      </c>
      <c r="B51" s="106">
        <f>'Pasture 1'!C51</f>
        <v>24.227777777777778</v>
      </c>
      <c r="C51" s="106">
        <f>'Pasture 2N'!C43</f>
        <v>117.8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>
        <f>'Pasture 3'!C37</f>
        <v>29.425000000000001</v>
      </c>
      <c r="R51" s="106">
        <f>'Pasture 4'!C43</f>
        <v>22.670967741935485</v>
      </c>
      <c r="S51" s="106">
        <f>'Pasture 5N'!C40</f>
        <v>102.82885304659499</v>
      </c>
      <c r="T51" s="106"/>
      <c r="U51" s="106"/>
      <c r="V51" s="106"/>
      <c r="W51" s="106"/>
      <c r="X51" s="106">
        <f>'Pasture 6A'!C43</f>
        <v>76.241666666666674</v>
      </c>
      <c r="Y51" s="106">
        <f>'Pasture 6B'!C43</f>
        <v>73.166666666666671</v>
      </c>
      <c r="Z51" s="106">
        <f>'Pasture 6C'!C43</f>
        <v>4.9750000000000005</v>
      </c>
      <c r="AA51" s="106"/>
      <c r="AB51" s="106"/>
      <c r="AC51" s="106">
        <f>'Pasture 8'!C44</f>
        <v>22.741666666666664</v>
      </c>
      <c r="AD51" s="106">
        <f>'Pasture 9'!C50</f>
        <v>18.766666666666666</v>
      </c>
      <c r="AE51" s="106">
        <f>'Pasture 10'!C50</f>
        <v>15.866666666666667</v>
      </c>
      <c r="AF51" s="106"/>
      <c r="AG51" s="106">
        <f>'Pasture 11A'!C37</f>
        <v>12.508333333333333</v>
      </c>
      <c r="AH51" s="106">
        <f>'Pasture 11B'!C37</f>
        <v>10.358333333333333</v>
      </c>
      <c r="AI51" s="106"/>
      <c r="AJ51" s="106"/>
      <c r="AK51" s="106">
        <f>'Pasture 12A'!C34</f>
        <v>55.425000000000004</v>
      </c>
      <c r="AL51" s="106">
        <f>'Pasture 12B'!C34</f>
        <v>52.774999999999999</v>
      </c>
      <c r="AM51" s="106"/>
      <c r="AN51" s="106"/>
      <c r="AO51" s="106"/>
      <c r="AP51" s="106">
        <f>'Pasture 15'!C30</f>
        <v>53.833333333333336</v>
      </c>
      <c r="AQ51" s="106">
        <f>'Pasture 140'!C18</f>
        <v>1.95</v>
      </c>
      <c r="AR51" s="112"/>
      <c r="AS51" s="107">
        <f t="shared" si="0"/>
        <v>1956</v>
      </c>
      <c r="AT51" s="106">
        <f t="shared" si="1"/>
        <v>695.56093189964167</v>
      </c>
      <c r="AU51" s="108">
        <f>'Percent Area'!AT50</f>
        <v>19521.409</v>
      </c>
      <c r="AV51" s="109">
        <f t="shared" si="2"/>
        <v>3.5630672555430898E-2</v>
      </c>
      <c r="AW51" s="110">
        <f t="shared" si="3"/>
        <v>1.4419535635544677E-2</v>
      </c>
      <c r="AX51" s="111">
        <f t="shared" si="4"/>
        <v>1.4419535635544676</v>
      </c>
    </row>
    <row r="52" spans="1:50" x14ac:dyDescent="0.3">
      <c r="A52" s="105">
        <v>1957</v>
      </c>
      <c r="B52" s="106">
        <f>'Pasture 1'!C52</f>
        <v>21.32804659498208</v>
      </c>
      <c r="C52" s="106">
        <f>'Pasture 2N'!C44</f>
        <v>90.866666666666674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>
        <f>'Pasture 3'!C38</f>
        <v>34.141666666666666</v>
      </c>
      <c r="R52" s="106">
        <f>'Pasture 4'!C44</f>
        <v>17.128942652329751</v>
      </c>
      <c r="S52" s="106"/>
      <c r="T52" s="106">
        <f>'Pasture 5N'!C41</f>
        <v>39.677777777777777</v>
      </c>
      <c r="U52" s="106"/>
      <c r="V52" s="106">
        <f>'Pasture 5S'!C41</f>
        <v>34.35</v>
      </c>
      <c r="W52" s="106"/>
      <c r="X52" s="106">
        <f>'Pasture 6A'!C44</f>
        <v>54.133333333333333</v>
      </c>
      <c r="Y52" s="106">
        <f>'Pasture 6B'!C44</f>
        <v>54.891666666666673</v>
      </c>
      <c r="Z52" s="106">
        <f>'Pasture 6C'!C44</f>
        <v>5.8250000000000002</v>
      </c>
      <c r="AA52" s="106"/>
      <c r="AB52" s="106"/>
      <c r="AC52" s="106">
        <f>'Pasture 8'!C45</f>
        <v>22.125</v>
      </c>
      <c r="AD52" s="106">
        <f>'Pasture 9'!C51</f>
        <v>16.708333333333332</v>
      </c>
      <c r="AE52" s="106">
        <f>'Pasture 10'!C51</f>
        <v>15.958333333333334</v>
      </c>
      <c r="AF52" s="106"/>
      <c r="AG52" s="106">
        <f>'Pasture 11A'!C38</f>
        <v>13.566666666666668</v>
      </c>
      <c r="AH52" s="106">
        <f>'Pasture 11B'!C38</f>
        <v>0.65833333333333333</v>
      </c>
      <c r="AI52" s="106"/>
      <c r="AJ52" s="106"/>
      <c r="AK52" s="106">
        <f>'Pasture 12A'!C35</f>
        <v>41.366666666666667</v>
      </c>
      <c r="AL52" s="106">
        <f>'Pasture 12B'!C35</f>
        <v>8.1916666666666664</v>
      </c>
      <c r="AM52" s="106"/>
      <c r="AN52" s="106"/>
      <c r="AO52" s="106"/>
      <c r="AP52" s="106">
        <f>'Pasture 15'!C31</f>
        <v>45.158333333333331</v>
      </c>
      <c r="AQ52" s="106">
        <f>'Pasture 140'!C19</f>
        <v>3.2083333333333335</v>
      </c>
      <c r="AR52" s="112"/>
      <c r="AS52" s="107">
        <f t="shared" si="0"/>
        <v>1957</v>
      </c>
      <c r="AT52" s="106">
        <f t="shared" si="1"/>
        <v>519.28476702508965</v>
      </c>
      <c r="AU52" s="108">
        <f>'Percent Area'!AT51</f>
        <v>19521.409</v>
      </c>
      <c r="AV52" s="109">
        <f t="shared" si="2"/>
        <v>2.6600783120987306E-2</v>
      </c>
      <c r="AW52" s="110">
        <f t="shared" si="3"/>
        <v>1.0765189445968153E-2</v>
      </c>
      <c r="AX52" s="111">
        <f t="shared" si="4"/>
        <v>1.0765189445968153</v>
      </c>
    </row>
    <row r="53" spans="1:50" x14ac:dyDescent="0.3">
      <c r="A53" s="105">
        <v>1958</v>
      </c>
      <c r="B53" s="106">
        <f>'Pasture 1'!C53</f>
        <v>18.618817204301077</v>
      </c>
      <c r="C53" s="106"/>
      <c r="D53" s="106">
        <f>'Pasture 2N'!C45</f>
        <v>70.975000000000009</v>
      </c>
      <c r="E53" s="106">
        <f>'Pasture 2SW'!C45</f>
        <v>63.441666666666663</v>
      </c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>
        <f>'Pasture 3'!C39</f>
        <v>33.68333333333333</v>
      </c>
      <c r="R53" s="106">
        <f>'Pasture 4'!C45</f>
        <v>20.822580645161292</v>
      </c>
      <c r="S53" s="106"/>
      <c r="T53" s="106">
        <f>'Pasture 5N'!C42</f>
        <v>43.502777777777773</v>
      </c>
      <c r="U53" s="106"/>
      <c r="V53" s="106">
        <f>'Pasture 5S'!C42</f>
        <v>22.266666666666666</v>
      </c>
      <c r="W53" s="106"/>
      <c r="X53" s="106">
        <f>'Pasture 6A'!C45</f>
        <v>64.283333333333331</v>
      </c>
      <c r="Y53" s="106">
        <f>'Pasture 6B'!C45</f>
        <v>70.25833333333334</v>
      </c>
      <c r="Z53" s="106">
        <f>'Pasture 6C'!C45</f>
        <v>8.125</v>
      </c>
      <c r="AA53" s="106"/>
      <c r="AB53" s="106"/>
      <c r="AC53" s="106">
        <f>'Pasture 8'!C46</f>
        <v>24.599999999999998</v>
      </c>
      <c r="AD53" s="106">
        <f>'Pasture 9'!C52</f>
        <v>21.724999999999998</v>
      </c>
      <c r="AE53" s="106">
        <f>'Pasture 10'!C52</f>
        <v>11.858333333333334</v>
      </c>
      <c r="AF53" s="106"/>
      <c r="AG53" s="106">
        <f>'Pasture 11A'!C39</f>
        <v>14.049999999999997</v>
      </c>
      <c r="AH53" s="106">
        <f>'Pasture 11B'!C39</f>
        <v>12.775</v>
      </c>
      <c r="AI53" s="106"/>
      <c r="AJ53" s="106"/>
      <c r="AK53" s="106">
        <f>'Pasture 12A'!C36</f>
        <v>57.93333333333333</v>
      </c>
      <c r="AL53" s="106">
        <f>'Pasture 12B'!C36</f>
        <v>34.274999999999999</v>
      </c>
      <c r="AM53" s="106"/>
      <c r="AN53" s="106"/>
      <c r="AO53" s="106"/>
      <c r="AP53" s="106">
        <f>'Pasture 15'!C32</f>
        <v>54.824999999999996</v>
      </c>
      <c r="AQ53" s="106">
        <f>'Pasture 140'!C20</f>
        <v>0.75</v>
      </c>
      <c r="AR53" s="112"/>
      <c r="AS53" s="107">
        <f t="shared" si="0"/>
        <v>1958</v>
      </c>
      <c r="AT53" s="106">
        <f t="shared" si="1"/>
        <v>648.7691756272402</v>
      </c>
      <c r="AU53" s="108">
        <f>'Percent Area'!AT52</f>
        <v>19521.409</v>
      </c>
      <c r="AV53" s="109">
        <f t="shared" si="2"/>
        <v>3.323372691116918E-2</v>
      </c>
      <c r="AW53" s="110">
        <f t="shared" si="3"/>
        <v>1.3449505022731355E-2</v>
      </c>
      <c r="AX53" s="111">
        <f t="shared" si="4"/>
        <v>1.3449505022731356</v>
      </c>
    </row>
    <row r="54" spans="1:50" x14ac:dyDescent="0.3">
      <c r="A54" s="105">
        <v>1959</v>
      </c>
      <c r="B54" s="106">
        <f>'Pasture 1'!C54</f>
        <v>30.919354838709676</v>
      </c>
      <c r="C54" s="106"/>
      <c r="D54" s="106">
        <f>'Pasture 2N'!C46</f>
        <v>64.233333333333334</v>
      </c>
      <c r="E54" s="106">
        <f>'Pasture 2SW'!C46</f>
        <v>83.125</v>
      </c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>
        <f>'Pasture 3'!C40</f>
        <v>53.633333333333333</v>
      </c>
      <c r="R54" s="106">
        <f>'Pasture 4'!C46</f>
        <v>24.896505376344084</v>
      </c>
      <c r="S54" s="106"/>
      <c r="T54" s="106">
        <f>'Pasture 5N'!C43</f>
        <v>24.981003584229388</v>
      </c>
      <c r="U54" s="106"/>
      <c r="V54" s="106">
        <f>'Pasture 5S'!C43</f>
        <v>45.56666666666667</v>
      </c>
      <c r="W54" s="106"/>
      <c r="X54" s="106">
        <f>'Pasture 6A'!C46</f>
        <v>72.86666666666666</v>
      </c>
      <c r="Y54" s="106">
        <f>'Pasture 6B'!C46</f>
        <v>78.60833333333332</v>
      </c>
      <c r="Z54" s="106">
        <f>'Pasture 6C'!C46</f>
        <v>5.9833333333333334</v>
      </c>
      <c r="AA54" s="106"/>
      <c r="AB54" s="106"/>
      <c r="AC54" s="106">
        <f>'Pasture 8'!C47</f>
        <v>30.516666666666669</v>
      </c>
      <c r="AD54" s="106">
        <f>'Pasture 9'!C53</f>
        <v>14.375</v>
      </c>
      <c r="AE54" s="106">
        <f>'Pasture 10'!C53</f>
        <v>29.616666666666664</v>
      </c>
      <c r="AF54" s="106"/>
      <c r="AG54" s="106">
        <f>'Pasture 11A'!C40</f>
        <v>21.55</v>
      </c>
      <c r="AH54" s="106">
        <f>'Pasture 11B'!C40</f>
        <v>6.7833333333333323</v>
      </c>
      <c r="AI54" s="106"/>
      <c r="AJ54" s="106"/>
      <c r="AK54" s="106">
        <f>'Pasture 12A'!C37</f>
        <v>67.541666666666671</v>
      </c>
      <c r="AL54" s="106">
        <f>'Pasture 12B'!C37</f>
        <v>42.266666666666673</v>
      </c>
      <c r="AM54" s="106"/>
      <c r="AN54" s="106"/>
      <c r="AO54" s="106"/>
      <c r="AP54" s="106">
        <f>'Pasture 15'!C33</f>
        <v>66.791666666666671</v>
      </c>
      <c r="AQ54" s="106">
        <f>'Pasture 140'!C21</f>
        <v>1.1916666666666667</v>
      </c>
      <c r="AR54" s="112"/>
      <c r="AS54" s="107">
        <f t="shared" si="0"/>
        <v>1959</v>
      </c>
      <c r="AT54" s="106">
        <f t="shared" si="1"/>
        <v>765.44686379928305</v>
      </c>
      <c r="AU54" s="108">
        <f>'Percent Area'!AT53</f>
        <v>19521.409</v>
      </c>
      <c r="AV54" s="109">
        <f t="shared" si="2"/>
        <v>3.9210636066243122E-2</v>
      </c>
      <c r="AW54" s="110">
        <f t="shared" si="3"/>
        <v>1.5868327019928418E-2</v>
      </c>
      <c r="AX54" s="111">
        <f t="shared" si="4"/>
        <v>1.5868327019928419</v>
      </c>
    </row>
    <row r="55" spans="1:50" x14ac:dyDescent="0.3">
      <c r="A55" s="105">
        <v>1960</v>
      </c>
      <c r="B55" s="106">
        <f>'Pasture 1'!C55</f>
        <v>34.497401433691756</v>
      </c>
      <c r="C55" s="106"/>
      <c r="D55" s="106">
        <f>'Pasture 2N'!C47</f>
        <v>50.749999999999993</v>
      </c>
      <c r="E55" s="106">
        <f>'Pasture 2SW'!C47</f>
        <v>92.933333333333323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>
        <f>'Pasture 3'!C41</f>
        <v>44.824999999999996</v>
      </c>
      <c r="R55" s="106">
        <f>'Pasture 4'!C47</f>
        <v>17.510035842293906</v>
      </c>
      <c r="S55" s="106"/>
      <c r="T55" s="106">
        <f>'Pasture 5N'!C44</f>
        <v>52.009176863181317</v>
      </c>
      <c r="U55" s="106"/>
      <c r="V55" s="106">
        <f>'Pasture 5S'!C44</f>
        <v>35.975000000000001</v>
      </c>
      <c r="W55" s="106"/>
      <c r="X55" s="106">
        <f>'Pasture 6A'!C47</f>
        <v>53.133333333333333</v>
      </c>
      <c r="Y55" s="106">
        <f>'Pasture 6B'!C47</f>
        <v>92.899999999999991</v>
      </c>
      <c r="Z55" s="106">
        <f>'Pasture 6C'!C47</f>
        <v>5.8083333333333327</v>
      </c>
      <c r="AA55" s="106"/>
      <c r="AB55" s="106"/>
      <c r="AC55" s="106">
        <f>'Pasture 8'!C48</f>
        <v>34.891666666666666</v>
      </c>
      <c r="AD55" s="106">
        <f>'Pasture 9'!C54</f>
        <v>28.974999999999998</v>
      </c>
      <c r="AE55" s="106">
        <f>'Pasture 10'!C54</f>
        <v>27.066666666666666</v>
      </c>
      <c r="AF55" s="106"/>
      <c r="AG55" s="106">
        <f>'Pasture 11A'!C41</f>
        <v>9.3250000000000011</v>
      </c>
      <c r="AH55" s="106">
        <f>'Pasture 11B'!C41</f>
        <v>2.9500000000000006</v>
      </c>
      <c r="AI55" s="106"/>
      <c r="AJ55" s="106"/>
      <c r="AK55" s="106">
        <f>'Pasture 12A'!C38</f>
        <v>68.191666666666677</v>
      </c>
      <c r="AL55" s="106">
        <f>'Pasture 12B'!C38</f>
        <v>41.991666666666667</v>
      </c>
      <c r="AM55" s="106"/>
      <c r="AN55" s="106"/>
      <c r="AO55" s="106"/>
      <c r="AP55" s="106">
        <f>'Pasture 15'!C34</f>
        <v>61.533333333333331</v>
      </c>
      <c r="AQ55" s="106">
        <f>'Pasture 140'!C22</f>
        <v>1.625</v>
      </c>
      <c r="AR55" s="112"/>
      <c r="AS55" s="107">
        <f t="shared" si="0"/>
        <v>1960</v>
      </c>
      <c r="AT55" s="106">
        <f t="shared" si="1"/>
        <v>756.89161413916713</v>
      </c>
      <c r="AU55" s="108">
        <f>'Percent Area'!AT54</f>
        <v>19521.409</v>
      </c>
      <c r="AV55" s="109">
        <f t="shared" si="2"/>
        <v>3.8772386467552988E-2</v>
      </c>
      <c r="AW55" s="110">
        <f t="shared" si="3"/>
        <v>1.5690969837131925E-2</v>
      </c>
      <c r="AX55" s="111">
        <f t="shared" si="4"/>
        <v>1.5690969837131925</v>
      </c>
    </row>
    <row r="56" spans="1:50" x14ac:dyDescent="0.3">
      <c r="A56" s="105">
        <v>1961</v>
      </c>
      <c r="B56" s="106">
        <f>'Pasture 1'!C56</f>
        <v>24.883333333333336</v>
      </c>
      <c r="C56" s="106"/>
      <c r="D56" s="106">
        <f>'Pasture 2N'!C48</f>
        <v>47.75</v>
      </c>
      <c r="E56" s="106">
        <f>'Pasture 2SW'!C48</f>
        <v>80.149999999999991</v>
      </c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>
        <f>'Pasture 3'!C42</f>
        <v>39.583333333333336</v>
      </c>
      <c r="R56" s="106">
        <f>'Pasture 4'!C48</f>
        <v>16.521710189452126</v>
      </c>
      <c r="S56" s="106"/>
      <c r="T56" s="106">
        <f>'Pasture 5N'!C45</f>
        <v>51.043535586277521</v>
      </c>
      <c r="U56" s="106"/>
      <c r="V56" s="106">
        <f>'Pasture 5S'!C45</f>
        <v>27.716666666666669</v>
      </c>
      <c r="W56" s="106"/>
      <c r="X56" s="106">
        <f>'Pasture 6A'!C48</f>
        <v>61.016666666666673</v>
      </c>
      <c r="Y56" s="106">
        <f>'Pasture 6B'!C48</f>
        <v>56.44166666666667</v>
      </c>
      <c r="Z56" s="106">
        <f>'Pasture 6C'!C48</f>
        <v>4.3</v>
      </c>
      <c r="AA56" s="106"/>
      <c r="AB56" s="106"/>
      <c r="AC56" s="106">
        <f>'Pasture 8'!C49</f>
        <v>13.725000000000001</v>
      </c>
      <c r="AD56" s="106">
        <f>'Pasture 9'!C55</f>
        <v>16.616666666666667</v>
      </c>
      <c r="AE56" s="106">
        <f>'Pasture 10'!C55</f>
        <v>19.675000000000001</v>
      </c>
      <c r="AF56" s="106"/>
      <c r="AG56" s="106">
        <f>'Pasture 11A'!C42</f>
        <v>17.025000000000002</v>
      </c>
      <c r="AH56" s="106">
        <f>'Pasture 11B'!C42</f>
        <v>3.9916666666666667</v>
      </c>
      <c r="AI56" s="106"/>
      <c r="AJ56" s="106"/>
      <c r="AK56" s="106">
        <f>'Pasture 12A'!C39</f>
        <v>32.708333333333336</v>
      </c>
      <c r="AL56" s="106">
        <f>'Pasture 12B'!C39</f>
        <v>8.1</v>
      </c>
      <c r="AM56" s="106"/>
      <c r="AN56" s="106"/>
      <c r="AO56" s="106"/>
      <c r="AP56" s="106">
        <f>'Pasture 15'!C35</f>
        <v>38.774999999999999</v>
      </c>
      <c r="AQ56" s="106">
        <f>'Pasture 140'!C23</f>
        <v>1.2833333333333334</v>
      </c>
      <c r="AR56" s="112"/>
      <c r="AS56" s="107">
        <f t="shared" si="0"/>
        <v>1961</v>
      </c>
      <c r="AT56" s="106">
        <f t="shared" si="1"/>
        <v>561.30691244239631</v>
      </c>
      <c r="AU56" s="108">
        <f>'Percent Area'!AT55</f>
        <v>19521.409</v>
      </c>
      <c r="AV56" s="109">
        <f t="shared" si="2"/>
        <v>2.8753401582969566E-2</v>
      </c>
      <c r="AW56" s="110">
        <f t="shared" si="3"/>
        <v>1.1636342202739606E-2</v>
      </c>
      <c r="AX56" s="111">
        <f t="shared" si="4"/>
        <v>1.1636342202739605</v>
      </c>
    </row>
    <row r="57" spans="1:50" x14ac:dyDescent="0.3">
      <c r="A57" s="105">
        <v>1962</v>
      </c>
      <c r="B57" s="106">
        <f>'Pasture 1'!C57</f>
        <v>34.575268817204297</v>
      </c>
      <c r="C57" s="106"/>
      <c r="D57" s="106">
        <f>'Pasture 2N'!C49</f>
        <v>39.68333333333333</v>
      </c>
      <c r="E57" s="106">
        <f>'Pasture 2SW'!C49</f>
        <v>76.325000000000003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>
        <f>'Pasture 3'!C43</f>
        <v>21.833333333333332</v>
      </c>
      <c r="R57" s="106">
        <f>'Pasture 4'!C49</f>
        <v>25.800806451612903</v>
      </c>
      <c r="S57" s="106"/>
      <c r="T57" s="106">
        <f>'Pasture 5N'!C46</f>
        <v>51.288888888888891</v>
      </c>
      <c r="U57" s="106"/>
      <c r="V57" s="106">
        <f>'Pasture 5S'!C46</f>
        <v>30.925000000000001</v>
      </c>
      <c r="W57" s="106"/>
      <c r="X57" s="106">
        <f>'Pasture 6A'!C49</f>
        <v>51.391666666666673</v>
      </c>
      <c r="Y57" s="106">
        <f>'Pasture 6B'!C49</f>
        <v>87.166666666666671</v>
      </c>
      <c r="Z57" s="106">
        <f>'Pasture 6C'!C49</f>
        <v>8.6166666666666671</v>
      </c>
      <c r="AA57" s="106"/>
      <c r="AB57" s="106"/>
      <c r="AC57" s="106">
        <f>'Pasture 8'!C50</f>
        <v>27.475000000000005</v>
      </c>
      <c r="AD57" s="106">
        <f>'Pasture 9'!C56</f>
        <v>26.133333333333336</v>
      </c>
      <c r="AE57" s="106">
        <f>'Pasture 10'!C56</f>
        <v>19.775000000000002</v>
      </c>
      <c r="AF57" s="106"/>
      <c r="AG57" s="106">
        <f>'Pasture 11A'!C43</f>
        <v>4.4833333333333334</v>
      </c>
      <c r="AH57" s="106">
        <f>'Pasture 11B'!C43</f>
        <v>3.9333333333333322</v>
      </c>
      <c r="AI57" s="106"/>
      <c r="AJ57" s="106"/>
      <c r="AK57" s="106">
        <f>'Pasture 12A'!C40</f>
        <v>26.716666666666669</v>
      </c>
      <c r="AL57" s="106">
        <f>'Pasture 12B'!C40</f>
        <v>36.68333333333333</v>
      </c>
      <c r="AM57" s="106"/>
      <c r="AN57" s="106"/>
      <c r="AO57" s="106"/>
      <c r="AP57" s="106">
        <f>'Pasture 15'!C36</f>
        <v>27.758333333333336</v>
      </c>
      <c r="AQ57" s="106">
        <f>'Pasture 140'!C24</f>
        <v>2.0916666666666668</v>
      </c>
      <c r="AR57" s="112"/>
      <c r="AS57" s="107">
        <f t="shared" si="0"/>
        <v>1962</v>
      </c>
      <c r="AT57" s="106">
        <f t="shared" si="1"/>
        <v>602.65663082437277</v>
      </c>
      <c r="AU57" s="108">
        <f>'Percent Area'!AT56</f>
        <v>19521.409</v>
      </c>
      <c r="AV57" s="109">
        <f t="shared" si="2"/>
        <v>3.0871574425000409E-2</v>
      </c>
      <c r="AW57" s="110">
        <f t="shared" si="3"/>
        <v>1.2493555008094055E-2</v>
      </c>
      <c r="AX57" s="111">
        <f t="shared" si="4"/>
        <v>1.2493555008094055</v>
      </c>
    </row>
    <row r="58" spans="1:50" x14ac:dyDescent="0.3">
      <c r="A58" s="105">
        <v>1963</v>
      </c>
      <c r="B58" s="106">
        <f>'Pasture 1'!C58</f>
        <v>26.57204301075269</v>
      </c>
      <c r="C58" s="106"/>
      <c r="D58" s="106">
        <f>'Pasture 2N'!C50</f>
        <v>24.200000000000003</v>
      </c>
      <c r="E58" s="106">
        <f>'Pasture 2SW'!C50</f>
        <v>56.06666666666667</v>
      </c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>
        <f>'Pasture 3'!C44</f>
        <v>23.025000000000002</v>
      </c>
      <c r="R58" s="106">
        <f>'Pasture 4'!C50</f>
        <v>21.28494623655914</v>
      </c>
      <c r="S58" s="106"/>
      <c r="T58" s="106">
        <f>'Pasture 5N'!C47</f>
        <v>29.152777777777782</v>
      </c>
      <c r="U58" s="106"/>
      <c r="V58" s="106">
        <f>'Pasture 5S'!C47</f>
        <v>41.033333333333331</v>
      </c>
      <c r="W58" s="106"/>
      <c r="X58" s="106">
        <f>'Pasture 6A'!C50</f>
        <v>43.408333333333331</v>
      </c>
      <c r="Y58" s="106">
        <f>'Pasture 6B'!C50</f>
        <v>50.391666666666673</v>
      </c>
      <c r="Z58" s="106">
        <f>'Pasture 6C'!C50</f>
        <v>3.5083333333333333</v>
      </c>
      <c r="AA58" s="106"/>
      <c r="AB58" s="106"/>
      <c r="AC58" s="106">
        <f>'Pasture 8'!C51</f>
        <v>16.2</v>
      </c>
      <c r="AD58" s="106">
        <f>'Pasture 9'!C57</f>
        <v>12.875</v>
      </c>
      <c r="AE58" s="106">
        <f>'Pasture 10'!C57</f>
        <v>15.6</v>
      </c>
      <c r="AF58" s="106"/>
      <c r="AG58" s="106">
        <f>'Pasture 11A'!C44</f>
        <v>7.8416666666666659</v>
      </c>
      <c r="AH58" s="106">
        <f>'Pasture 11B'!C44</f>
        <v>6.6749999999999998</v>
      </c>
      <c r="AI58" s="106"/>
      <c r="AJ58" s="106"/>
      <c r="AK58" s="106">
        <f>'Pasture 12A'!C41</f>
        <v>44.141666666666673</v>
      </c>
      <c r="AL58" s="106">
        <f>'Pasture 12B'!C41</f>
        <v>28.691666666666674</v>
      </c>
      <c r="AM58" s="106"/>
      <c r="AN58" s="106"/>
      <c r="AO58" s="106"/>
      <c r="AP58" s="106">
        <f>'Pasture 15'!C37</f>
        <v>36.958333333333336</v>
      </c>
      <c r="AQ58" s="106">
        <f>'Pasture 140'!C25</f>
        <v>1.1583333333333334</v>
      </c>
      <c r="AR58" s="112"/>
      <c r="AS58" s="107">
        <f t="shared" si="0"/>
        <v>1963</v>
      </c>
      <c r="AT58" s="106">
        <f t="shared" si="1"/>
        <v>488.78476702508954</v>
      </c>
      <c r="AU58" s="108">
        <f>'Percent Area'!AT57</f>
        <v>19521.409</v>
      </c>
      <c r="AV58" s="109">
        <f t="shared" si="2"/>
        <v>2.5038395897810938E-2</v>
      </c>
      <c r="AW58" s="110">
        <f t="shared" si="3"/>
        <v>1.0132899999114098E-2</v>
      </c>
      <c r="AX58" s="111">
        <f t="shared" si="4"/>
        <v>1.0132899999114098</v>
      </c>
    </row>
    <row r="59" spans="1:50" x14ac:dyDescent="0.3">
      <c r="A59" s="105">
        <v>1964</v>
      </c>
      <c r="B59" s="106">
        <f>'Pasture 1'!C59</f>
        <v>21.541666666666668</v>
      </c>
      <c r="C59" s="106"/>
      <c r="D59" s="106">
        <f>'Pasture 2N'!C51</f>
        <v>28.233333333333334</v>
      </c>
      <c r="E59" s="106">
        <f>'Pasture 2SW'!C51</f>
        <v>69.166666666666671</v>
      </c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>
        <f>'Pasture 3'!C45</f>
        <v>27.799999999999997</v>
      </c>
      <c r="R59" s="106">
        <f>'Pasture 4'!C51</f>
        <v>18.666666666666668</v>
      </c>
      <c r="S59" s="106"/>
      <c r="T59" s="106">
        <f>'Pasture 5N'!C48</f>
        <v>34.221440489432709</v>
      </c>
      <c r="U59" s="106"/>
      <c r="V59" s="106">
        <f>'Pasture 5S'!C48</f>
        <v>34.583333333333336</v>
      </c>
      <c r="W59" s="106"/>
      <c r="X59" s="106">
        <f>'Pasture 6A'!C51</f>
        <v>46.991666666666667</v>
      </c>
      <c r="Y59" s="106">
        <f>'Pasture 6B'!C51</f>
        <v>66.608333333333334</v>
      </c>
      <c r="Z59" s="106">
        <f>'Pasture 6C'!C51</f>
        <v>9.2666666666666675</v>
      </c>
      <c r="AA59" s="106"/>
      <c r="AB59" s="106"/>
      <c r="AC59" s="106">
        <f>'Pasture 8'!C52</f>
        <v>20.608333333333331</v>
      </c>
      <c r="AD59" s="106">
        <f>'Pasture 9'!C58</f>
        <v>18.041666666666668</v>
      </c>
      <c r="AE59" s="106">
        <f>'Pasture 10'!C58</f>
        <v>12.158333333333333</v>
      </c>
      <c r="AF59" s="106"/>
      <c r="AG59" s="106">
        <f>'Pasture 11A'!C45</f>
        <v>7.05</v>
      </c>
      <c r="AH59" s="106">
        <f>'Pasture 11B'!C45</f>
        <v>9.1666666666666674E-2</v>
      </c>
      <c r="AI59" s="106"/>
      <c r="AJ59" s="106"/>
      <c r="AK59" s="106">
        <f>'Pasture 12A'!C42</f>
        <v>34.658333333333331</v>
      </c>
      <c r="AL59" s="106">
        <f>'Pasture 12B'!C42</f>
        <v>21.841666666666665</v>
      </c>
      <c r="AM59" s="106"/>
      <c r="AN59" s="106"/>
      <c r="AO59" s="106"/>
      <c r="AP59" s="106">
        <f>'Pasture 15'!C38</f>
        <v>30.25</v>
      </c>
      <c r="AQ59" s="106">
        <f>'Pasture 140'!C26</f>
        <v>1.5833333333333333</v>
      </c>
      <c r="AR59" s="112"/>
      <c r="AS59" s="107">
        <f t="shared" si="0"/>
        <v>1964</v>
      </c>
      <c r="AT59" s="106">
        <f t="shared" si="1"/>
        <v>503.36310715609932</v>
      </c>
      <c r="AU59" s="108">
        <f>'Percent Area'!AT58</f>
        <v>19521.409</v>
      </c>
      <c r="AV59" s="109">
        <f t="shared" si="2"/>
        <v>2.5785183188165327E-2</v>
      </c>
      <c r="AW59" s="110">
        <f t="shared" si="3"/>
        <v>1.0435120675097258E-2</v>
      </c>
      <c r="AX59" s="111">
        <f t="shared" si="4"/>
        <v>1.0435120675097258</v>
      </c>
    </row>
    <row r="60" spans="1:50" x14ac:dyDescent="0.3">
      <c r="A60" s="105">
        <v>1965</v>
      </c>
      <c r="B60" s="106">
        <f>'Pasture 1'!C60</f>
        <v>29.458333333333329</v>
      </c>
      <c r="C60" s="106"/>
      <c r="D60" s="106">
        <f>'Pasture 2N'!C52</f>
        <v>38.925000000000004</v>
      </c>
      <c r="E60" s="106">
        <f>'Pasture 2SW'!C52</f>
        <v>65.766666666666666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>
        <f>'Pasture 3'!C46</f>
        <v>25.625</v>
      </c>
      <c r="R60" s="106">
        <f>'Pasture 4'!C52</f>
        <v>16.833333333333336</v>
      </c>
      <c r="S60" s="106"/>
      <c r="T60" s="106">
        <f>'Pasture 5N'!C49</f>
        <v>42.608333333333327</v>
      </c>
      <c r="U60" s="106"/>
      <c r="V60" s="106">
        <f>'Pasture 5S'!C49</f>
        <v>40.024999999999999</v>
      </c>
      <c r="W60" s="106"/>
      <c r="X60" s="106">
        <f>'Pasture 6A'!C52</f>
        <v>44.19166666666667</v>
      </c>
      <c r="Y60" s="106">
        <f>'Pasture 6B'!C52</f>
        <v>57.79999999999999</v>
      </c>
      <c r="Z60" s="106">
        <f>'Pasture 6C'!C52</f>
        <v>6.0666666666666664</v>
      </c>
      <c r="AA60" s="106"/>
      <c r="AB60" s="106"/>
      <c r="AC60" s="106">
        <f>'Pasture 8'!C53</f>
        <v>17.974999999999998</v>
      </c>
      <c r="AD60" s="106">
        <f>'Pasture 9'!C59</f>
        <v>14.333333333333334</v>
      </c>
      <c r="AE60" s="106">
        <f>'Pasture 10'!C59</f>
        <v>16.833333333333332</v>
      </c>
      <c r="AF60" s="106"/>
      <c r="AG60" s="106">
        <f>'Pasture 11A'!C46</f>
        <v>3</v>
      </c>
      <c r="AH60" s="106">
        <f>'Pasture 11B'!C46</f>
        <v>11.916666666666666</v>
      </c>
      <c r="AI60" s="106"/>
      <c r="AJ60" s="106"/>
      <c r="AK60" s="106">
        <f>'Pasture 12A'!C43</f>
        <v>21.583333333333332</v>
      </c>
      <c r="AL60" s="106">
        <f>'Pasture 12B'!C43</f>
        <v>15.341666666666667</v>
      </c>
      <c r="AM60" s="106"/>
      <c r="AN60" s="106"/>
      <c r="AO60" s="106"/>
      <c r="AP60" s="106">
        <f>'Pasture 15'!C39</f>
        <v>31.308333333333337</v>
      </c>
      <c r="AQ60" s="106">
        <f>'Pasture 140'!C27</f>
        <v>1.0833333333333333</v>
      </c>
      <c r="AR60" s="112"/>
      <c r="AS60" s="107">
        <f t="shared" si="0"/>
        <v>1965</v>
      </c>
      <c r="AT60" s="106">
        <f t="shared" si="1"/>
        <v>500.6749999999999</v>
      </c>
      <c r="AU60" s="108">
        <f>'Percent Area'!AT59</f>
        <v>19521.409</v>
      </c>
      <c r="AV60" s="109">
        <f t="shared" si="2"/>
        <v>2.5647482720125372E-2</v>
      </c>
      <c r="AW60" s="110">
        <f t="shared" si="3"/>
        <v>1.0379394059136127E-2</v>
      </c>
      <c r="AX60" s="111">
        <f t="shared" si="4"/>
        <v>1.0379394059136127</v>
      </c>
    </row>
    <row r="61" spans="1:50" x14ac:dyDescent="0.3">
      <c r="A61" s="105">
        <v>1966</v>
      </c>
      <c r="B61" s="106">
        <f>'Pasture 1'!C61</f>
        <v>27.125</v>
      </c>
      <c r="C61" s="106"/>
      <c r="D61" s="106">
        <f>'Pasture 2N'!C53</f>
        <v>39.80833333333333</v>
      </c>
      <c r="E61" s="106">
        <f>'Pasture 2SW'!C53</f>
        <v>56.516666666666659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>
        <f>'Pasture 3'!C47</f>
        <v>26.041666666666668</v>
      </c>
      <c r="R61" s="106">
        <f>'Pasture 4'!C53</f>
        <v>19.258333333333333</v>
      </c>
      <c r="S61" s="106"/>
      <c r="T61" s="106">
        <f>'Pasture 5N'!C50</f>
        <v>49.574999999999996</v>
      </c>
      <c r="U61" s="106"/>
      <c r="V61" s="106">
        <f>'Pasture 5S'!C50</f>
        <v>44.79999999999999</v>
      </c>
      <c r="W61" s="106"/>
      <c r="X61" s="106">
        <f>'Pasture 6A'!C53</f>
        <v>24.55</v>
      </c>
      <c r="Y61" s="106">
        <f>'Pasture 6B'!C53</f>
        <v>52.908333333333339</v>
      </c>
      <c r="Z61" s="106">
        <f>'Pasture 6C'!C53</f>
        <v>6.9833333333333334</v>
      </c>
      <c r="AA61" s="106"/>
      <c r="AB61" s="106"/>
      <c r="AC61" s="106">
        <f>'Pasture 8'!C54</f>
        <v>20.883333333333336</v>
      </c>
      <c r="AD61" s="106">
        <f>'Pasture 9'!C60</f>
        <v>24.099999999999998</v>
      </c>
      <c r="AE61" s="106">
        <f>'Pasture 10'!C60</f>
        <v>19.283333333333335</v>
      </c>
      <c r="AF61" s="106"/>
      <c r="AG61" s="106">
        <f>'Pasture 11A'!C47</f>
        <v>4.833333333333333</v>
      </c>
      <c r="AH61" s="106">
        <f>'Pasture 11B'!C47</f>
        <v>0.57500000000000007</v>
      </c>
      <c r="AI61" s="106"/>
      <c r="AJ61" s="106"/>
      <c r="AK61" s="106">
        <f>'Pasture 12A'!C44</f>
        <v>18.541666666666668</v>
      </c>
      <c r="AL61" s="106">
        <f>'Pasture 12B'!C44</f>
        <v>11.733333333333333</v>
      </c>
      <c r="AM61" s="106"/>
      <c r="AN61" s="106"/>
      <c r="AO61" s="106"/>
      <c r="AP61" s="106">
        <f>'Pasture 15'!C40</f>
        <v>24.591666666666669</v>
      </c>
      <c r="AQ61" s="106">
        <f>'Pasture 140'!C28</f>
        <v>0.3666666666666667</v>
      </c>
      <c r="AR61" s="112"/>
      <c r="AS61" s="107">
        <f t="shared" si="0"/>
        <v>1966</v>
      </c>
      <c r="AT61" s="106">
        <f t="shared" si="1"/>
        <v>472.47500000000002</v>
      </c>
      <c r="AU61" s="108">
        <f>'Percent Area'!AT60</f>
        <v>19521.409</v>
      </c>
      <c r="AV61" s="109">
        <f t="shared" si="2"/>
        <v>2.4202914861319695E-2</v>
      </c>
      <c r="AW61" s="110">
        <f t="shared" si="3"/>
        <v>9.7947854558153354E-3</v>
      </c>
      <c r="AX61" s="111">
        <f t="shared" si="4"/>
        <v>0.97947854558153358</v>
      </c>
    </row>
    <row r="62" spans="1:50" x14ac:dyDescent="0.3">
      <c r="A62" s="105">
        <v>1967</v>
      </c>
      <c r="B62" s="106">
        <f>'Pasture 1'!C62</f>
        <v>65.508333333333326</v>
      </c>
      <c r="C62" s="106"/>
      <c r="D62" s="106">
        <f>'Pasture 2N'!C54</f>
        <v>40.858333333333327</v>
      </c>
      <c r="E62" s="106">
        <f>'Pasture 2SW'!C54</f>
        <v>68.641666666666666</v>
      </c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>
        <f>'Pasture 3'!C48</f>
        <v>29.883333333333329</v>
      </c>
      <c r="R62" s="106">
        <f>'Pasture 4'!C54</f>
        <v>13.508333333333335</v>
      </c>
      <c r="S62" s="106"/>
      <c r="T62" s="106">
        <f>'Pasture 5N'!C51</f>
        <v>44.949999999999996</v>
      </c>
      <c r="U62" s="106"/>
      <c r="V62" s="106">
        <f>'Pasture 5S'!C51</f>
        <v>41.108333333333334</v>
      </c>
      <c r="W62" s="106"/>
      <c r="X62" s="106">
        <f>'Pasture 6A'!C54</f>
        <v>29.925000000000001</v>
      </c>
      <c r="Y62" s="106">
        <f>'Pasture 6B'!C54</f>
        <v>47.75</v>
      </c>
      <c r="Z62" s="106">
        <f>'Pasture 6C'!C54</f>
        <v>10.491666666666667</v>
      </c>
      <c r="AA62" s="106"/>
      <c r="AB62" s="106"/>
      <c r="AC62" s="106">
        <f>'Pasture 8'!C55</f>
        <v>16.108333333333334</v>
      </c>
      <c r="AD62" s="106">
        <f>'Pasture 9'!C61</f>
        <v>17.025000000000002</v>
      </c>
      <c r="AE62" s="106">
        <f>'Pasture 10'!C61</f>
        <v>23.733333333333334</v>
      </c>
      <c r="AF62" s="106"/>
      <c r="AG62" s="106">
        <f>'Pasture 11A'!C48</f>
        <v>6.8666666666666671</v>
      </c>
      <c r="AH62" s="106">
        <f>'Pasture 11B'!C48</f>
        <v>8.3333333333333329E-2</v>
      </c>
      <c r="AI62" s="106"/>
      <c r="AJ62" s="106"/>
      <c r="AK62" s="106">
        <f>'Pasture 12A'!C45</f>
        <v>30.55</v>
      </c>
      <c r="AL62" s="106">
        <f>'Pasture 12B'!C45</f>
        <v>12.375</v>
      </c>
      <c r="AM62" s="106"/>
      <c r="AN62" s="106"/>
      <c r="AO62" s="106"/>
      <c r="AP62" s="106">
        <f>'Pasture 15'!C41</f>
        <v>33.241666666666667</v>
      </c>
      <c r="AQ62" s="106">
        <f>'Pasture 140'!C29</f>
        <v>3.8666666666666671</v>
      </c>
      <c r="AR62" s="112"/>
      <c r="AS62" s="107">
        <f t="shared" si="0"/>
        <v>1967</v>
      </c>
      <c r="AT62" s="106">
        <f t="shared" si="1"/>
        <v>536.47500000000002</v>
      </c>
      <c r="AU62" s="108">
        <f>'Percent Area'!AT61</f>
        <v>19521.409</v>
      </c>
      <c r="AV62" s="109">
        <f t="shared" si="2"/>
        <v>2.7481366739460254E-2</v>
      </c>
      <c r="AW62" s="110">
        <f t="shared" si="3"/>
        <v>1.1121556754132032E-2</v>
      </c>
      <c r="AX62" s="111">
        <f t="shared" si="4"/>
        <v>1.1121556754132031</v>
      </c>
    </row>
    <row r="63" spans="1:50" x14ac:dyDescent="0.3">
      <c r="A63" s="105">
        <v>1968</v>
      </c>
      <c r="B63" s="106">
        <f>'Pasture 1'!C63</f>
        <v>32.224999999999994</v>
      </c>
      <c r="C63" s="106"/>
      <c r="D63" s="106">
        <f>'Pasture 2N'!C55</f>
        <v>45.241666666666667</v>
      </c>
      <c r="E63" s="106">
        <f>'Pasture 2SW'!C55</f>
        <v>71.333333333333329</v>
      </c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>
        <f>'Pasture 3'!C49</f>
        <v>32.258333333333333</v>
      </c>
      <c r="R63" s="106">
        <f>'Pasture 4'!C55</f>
        <v>21.266666666666666</v>
      </c>
      <c r="S63" s="106"/>
      <c r="T63" s="106">
        <f>'Pasture 5N'!C52</f>
        <v>31.908333333333331</v>
      </c>
      <c r="U63" s="106"/>
      <c r="V63" s="106">
        <f>'Pasture 5S'!C52</f>
        <v>32.466666666666661</v>
      </c>
      <c r="W63" s="106"/>
      <c r="X63" s="106">
        <f>'Pasture 6A'!C55</f>
        <v>25.916666666666668</v>
      </c>
      <c r="Y63" s="106">
        <f>'Pasture 6B'!C55</f>
        <v>42.808333333333337</v>
      </c>
      <c r="Z63" s="106">
        <f>'Pasture 6C'!C55</f>
        <v>15.375</v>
      </c>
      <c r="AA63" s="106"/>
      <c r="AB63" s="106"/>
      <c r="AC63" s="106">
        <f>'Pasture 8'!C56</f>
        <v>27.766666666666666</v>
      </c>
      <c r="AD63" s="106">
        <f>'Pasture 9'!C62</f>
        <v>28.291666666666668</v>
      </c>
      <c r="AE63" s="106">
        <f>'Pasture 10'!C62</f>
        <v>18.466666666666665</v>
      </c>
      <c r="AF63" s="106"/>
      <c r="AG63" s="106">
        <f>'Pasture 11A'!C49</f>
        <v>3.1583333333333328</v>
      </c>
      <c r="AH63" s="106">
        <f>'Pasture 11B'!C49</f>
        <v>2.8916666666666662</v>
      </c>
      <c r="AI63" s="106"/>
      <c r="AJ63" s="106"/>
      <c r="AK63" s="106">
        <f>'Pasture 12A'!C46</f>
        <v>40.875</v>
      </c>
      <c r="AL63" s="106">
        <f>'Pasture 12B'!C46</f>
        <v>28.724999999999998</v>
      </c>
      <c r="AM63" s="106"/>
      <c r="AN63" s="106"/>
      <c r="AO63" s="106"/>
      <c r="AP63" s="106">
        <f>'Pasture 15'!C42</f>
        <v>32.583333333333336</v>
      </c>
      <c r="AQ63" s="106">
        <f>'Pasture 140'!C30</f>
        <v>3.0833333333333335</v>
      </c>
      <c r="AR63" s="112"/>
      <c r="AS63" s="107">
        <f t="shared" si="0"/>
        <v>1968</v>
      </c>
      <c r="AT63" s="106">
        <f t="shared" si="1"/>
        <v>536.64166666666677</v>
      </c>
      <c r="AU63" s="108">
        <f>'Percent Area'!AT62</f>
        <v>19521.409</v>
      </c>
      <c r="AV63" s="109">
        <f t="shared" si="2"/>
        <v>2.748990437455958E-2</v>
      </c>
      <c r="AW63" s="110">
        <f t="shared" si="3"/>
        <v>1.11250118877214E-2</v>
      </c>
      <c r="AX63" s="111">
        <f t="shared" si="4"/>
        <v>1.1125011887721401</v>
      </c>
    </row>
    <row r="64" spans="1:50" x14ac:dyDescent="0.3">
      <c r="A64" s="105">
        <v>1969</v>
      </c>
      <c r="B64" s="106">
        <f>'Pasture 1'!C64</f>
        <v>34.68333333333333</v>
      </c>
      <c r="C64" s="106"/>
      <c r="D64" s="106">
        <f>'Pasture 2N'!C56</f>
        <v>51.716666666666669</v>
      </c>
      <c r="E64" s="106">
        <f>'Pasture 2SW'!C56</f>
        <v>63.85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>
        <f>'Pasture 3'!C50</f>
        <v>24.241666666666664</v>
      </c>
      <c r="R64" s="106">
        <f>'Pasture 4'!C56</f>
        <v>16.3</v>
      </c>
      <c r="S64" s="106"/>
      <c r="T64" s="106">
        <f>'Pasture 5N'!C53</f>
        <v>0</v>
      </c>
      <c r="U64" s="106"/>
      <c r="V64" s="106">
        <f>'Pasture 5S'!C53</f>
        <v>0</v>
      </c>
      <c r="W64" s="106"/>
      <c r="X64" s="106">
        <f>'Pasture 6A'!C56</f>
        <v>12.241666666666667</v>
      </c>
      <c r="Y64" s="106">
        <f>'Pasture 6B'!C56</f>
        <v>0</v>
      </c>
      <c r="Z64" s="106">
        <f>'Pasture 6C'!C56</f>
        <v>0</v>
      </c>
      <c r="AA64" s="106"/>
      <c r="AB64" s="106"/>
      <c r="AC64" s="106">
        <f>'Pasture 8'!C57</f>
        <v>16.424999999999997</v>
      </c>
      <c r="AD64" s="106">
        <f>'Pasture 9'!C63</f>
        <v>17.166666666666668</v>
      </c>
      <c r="AE64" s="106">
        <f>'Pasture 10'!C63</f>
        <v>20.666666666666668</v>
      </c>
      <c r="AF64" s="106"/>
      <c r="AG64" s="106">
        <f>'Pasture 11A'!C50</f>
        <v>13.666666666666666</v>
      </c>
      <c r="AH64" s="106">
        <f>'Pasture 11B'!C50</f>
        <v>8.0666666666666682</v>
      </c>
      <c r="AI64" s="106"/>
      <c r="AJ64" s="106"/>
      <c r="AK64" s="106">
        <f>'Pasture 12A'!C47</f>
        <v>28.991666666666671</v>
      </c>
      <c r="AL64" s="106">
        <f>'Pasture 12B'!C47</f>
        <v>37.608333333333327</v>
      </c>
      <c r="AM64" s="106"/>
      <c r="AN64" s="106"/>
      <c r="AO64" s="106"/>
      <c r="AP64" s="106">
        <f>'Pasture 15'!C43</f>
        <v>0</v>
      </c>
      <c r="AQ64" s="106">
        <f>'Pasture 140'!C31</f>
        <v>1.5416666666666667</v>
      </c>
      <c r="AR64" s="112"/>
      <c r="AS64" s="107">
        <f t="shared" si="0"/>
        <v>1969</v>
      </c>
      <c r="AT64" s="106">
        <f t="shared" si="1"/>
        <v>347.16666666666674</v>
      </c>
      <c r="AU64" s="108">
        <f>'Percent Area'!AT63</f>
        <v>19521.409</v>
      </c>
      <c r="AV64" s="109">
        <f t="shared" si="2"/>
        <v>1.7783893911892668E-2</v>
      </c>
      <c r="AW64" s="110">
        <f t="shared" si="3"/>
        <v>7.197043266650209E-3</v>
      </c>
      <c r="AX64" s="111">
        <f t="shared" si="4"/>
        <v>0.71970432666502093</v>
      </c>
    </row>
    <row r="65" spans="1:50" x14ac:dyDescent="0.3">
      <c r="A65" s="105">
        <v>1970</v>
      </c>
      <c r="B65" s="106">
        <f>'Pasture 1'!C65</f>
        <v>18.649999999999999</v>
      </c>
      <c r="C65" s="106"/>
      <c r="D65" s="106">
        <f>'Pasture 2N'!C57</f>
        <v>47.925000000000004</v>
      </c>
      <c r="E65" s="106">
        <f>'Pasture 2SW'!C57</f>
        <v>61.949999999999996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>
        <f>'Pasture 3'!C51</f>
        <v>39.18333333333333</v>
      </c>
      <c r="R65" s="106">
        <f>'Pasture 4'!C57</f>
        <v>16.916666666666668</v>
      </c>
      <c r="S65" s="106"/>
      <c r="T65" s="106">
        <f>'Pasture 5N'!C54</f>
        <v>0</v>
      </c>
      <c r="U65" s="106"/>
      <c r="V65" s="106">
        <f>'Pasture 5S'!C54</f>
        <v>0</v>
      </c>
      <c r="W65" s="106"/>
      <c r="X65" s="106">
        <f>'Pasture 6A'!C57</f>
        <v>0</v>
      </c>
      <c r="Y65" s="106">
        <f>'Pasture 6B'!C57</f>
        <v>0</v>
      </c>
      <c r="Z65" s="106">
        <f>'Pasture 6C'!C57</f>
        <v>0</v>
      </c>
      <c r="AA65" s="106"/>
      <c r="AB65" s="106"/>
      <c r="AC65" s="106">
        <f>'Pasture 8'!C58</f>
        <v>20.366666666666667</v>
      </c>
      <c r="AD65" s="106">
        <f>'Pasture 9'!C64</f>
        <v>25.025000000000002</v>
      </c>
      <c r="AE65" s="106">
        <f>'Pasture 10'!C64</f>
        <v>16.733333333333331</v>
      </c>
      <c r="AF65" s="106"/>
      <c r="AG65" s="106">
        <f>'Pasture 11A'!C51</f>
        <v>9.8166666666666682</v>
      </c>
      <c r="AH65" s="106">
        <f>'Pasture 11B'!C51</f>
        <v>0.48333333333333334</v>
      </c>
      <c r="AI65" s="106"/>
      <c r="AJ65" s="106"/>
      <c r="AK65" s="106">
        <f>'Pasture 12A'!C48</f>
        <v>30.808333333333334</v>
      </c>
      <c r="AL65" s="106">
        <f>'Pasture 12B'!C48</f>
        <v>42.274999999999999</v>
      </c>
      <c r="AM65" s="106"/>
      <c r="AN65" s="106"/>
      <c r="AO65" s="106"/>
      <c r="AP65" s="106">
        <f>'Pasture 15'!C44</f>
        <v>0</v>
      </c>
      <c r="AQ65" s="106">
        <f>'Pasture 140'!C32</f>
        <v>2.8666666666666667</v>
      </c>
      <c r="AR65" s="112"/>
      <c r="AS65" s="107">
        <f t="shared" si="0"/>
        <v>1970</v>
      </c>
      <c r="AT65" s="106">
        <f t="shared" si="1"/>
        <v>333</v>
      </c>
      <c r="AU65" s="108">
        <f>'Percent Area'!AT64</f>
        <v>19521.409</v>
      </c>
      <c r="AV65" s="109">
        <f t="shared" si="2"/>
        <v>1.7058194928450093E-2</v>
      </c>
      <c r="AW65" s="110">
        <f t="shared" si="3"/>
        <v>6.9033569115540643E-3</v>
      </c>
      <c r="AX65" s="111">
        <f t="shared" si="4"/>
        <v>0.69033569115540638</v>
      </c>
    </row>
    <row r="66" spans="1:50" x14ac:dyDescent="0.3">
      <c r="A66" s="105">
        <v>1971</v>
      </c>
      <c r="B66" s="106">
        <f>'Pasture 1'!C66</f>
        <v>23.616666666666664</v>
      </c>
      <c r="C66" s="106"/>
      <c r="D66" s="106">
        <f>'Pasture 2N'!C58</f>
        <v>60.991666666666667</v>
      </c>
      <c r="E66" s="106">
        <f>'Pasture 2SW'!C58</f>
        <v>69.45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>
        <f>'Pasture 3'!C52</f>
        <v>38.383333333333333</v>
      </c>
      <c r="R66" s="106">
        <f>'Pasture 4'!C58</f>
        <v>16.375</v>
      </c>
      <c r="S66" s="106"/>
      <c r="T66" s="106">
        <f>'Pasture 5N'!C55</f>
        <v>3.9833333333333329</v>
      </c>
      <c r="U66" s="106"/>
      <c r="V66" s="106">
        <f>'Pasture 5S'!C55</f>
        <v>0</v>
      </c>
      <c r="W66" s="106"/>
      <c r="X66" s="106">
        <f>'Pasture 6A'!C58</f>
        <v>65.875</v>
      </c>
      <c r="Y66" s="106">
        <f>'Pasture 6B'!C58</f>
        <v>0</v>
      </c>
      <c r="Z66" s="106">
        <f>'Pasture 6C'!C58</f>
        <v>0</v>
      </c>
      <c r="AA66" s="106"/>
      <c r="AB66" s="106"/>
      <c r="AC66" s="106">
        <f>'Pasture 8'!C59</f>
        <v>11.758333333333333</v>
      </c>
      <c r="AD66" s="106">
        <f>'Pasture 9'!C65</f>
        <v>17</v>
      </c>
      <c r="AE66" s="106">
        <f>'Pasture 10'!C65</f>
        <v>25</v>
      </c>
      <c r="AF66" s="106"/>
      <c r="AG66" s="106">
        <f>'Pasture 11A'!C52</f>
        <v>8.4666666666666668</v>
      </c>
      <c r="AH66" s="106">
        <f>'Pasture 11B'!C52</f>
        <v>0.73333333333333339</v>
      </c>
      <c r="AI66" s="106"/>
      <c r="AJ66" s="106"/>
      <c r="AK66" s="106">
        <f>'Pasture 12A'!C49</f>
        <v>25.408333333333331</v>
      </c>
      <c r="AL66" s="106">
        <f>'Pasture 12B'!C49</f>
        <v>36.633333333333333</v>
      </c>
      <c r="AM66" s="106"/>
      <c r="AN66" s="106"/>
      <c r="AO66" s="106"/>
      <c r="AP66" s="106">
        <f>'Pasture 15'!C45</f>
        <v>0</v>
      </c>
      <c r="AQ66" s="106">
        <f>'Pasture 140'!C33</f>
        <v>0</v>
      </c>
      <c r="AR66" s="112"/>
      <c r="AS66" s="107">
        <f t="shared" si="0"/>
        <v>1971</v>
      </c>
      <c r="AT66" s="106">
        <f t="shared" si="1"/>
        <v>403.67499999999995</v>
      </c>
      <c r="AU66" s="108">
        <f>'Percent Area'!AT65</f>
        <v>19521.409</v>
      </c>
      <c r="AV66" s="109">
        <f t="shared" si="2"/>
        <v>2.0678579092318589E-2</v>
      </c>
      <c r="AW66" s="110">
        <f t="shared" si="3"/>
        <v>8.3685063101248836E-3</v>
      </c>
      <c r="AX66" s="111">
        <f t="shared" si="4"/>
        <v>0.83685063101248836</v>
      </c>
    </row>
    <row r="67" spans="1:50" x14ac:dyDescent="0.3">
      <c r="A67" s="105">
        <v>1972</v>
      </c>
      <c r="B67" s="106">
        <f>'Pasture 1'!C67</f>
        <v>17.475000000000005</v>
      </c>
      <c r="C67" s="106"/>
      <c r="D67" s="106">
        <f>'Pasture 2N'!C59</f>
        <v>48.808333333333337</v>
      </c>
      <c r="E67" s="106">
        <f>'Pasture 2SW'!C59</f>
        <v>87.608333333333348</v>
      </c>
      <c r="F67" s="106">
        <f>'UA Cell D'!C59</f>
        <v>35.908333333333331</v>
      </c>
      <c r="G67" s="106">
        <f>'UA Cell F'!C59</f>
        <v>35.908333333333331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>
        <f>'Pasture 3'!C53</f>
        <v>28.866666666666664</v>
      </c>
      <c r="R67" s="106">
        <f>'Pasture 4'!C59</f>
        <v>15.183333333333332</v>
      </c>
      <c r="S67" s="106"/>
      <c r="T67" s="106">
        <f>'Pasture 5N'!C56</f>
        <v>45.758333333333333</v>
      </c>
      <c r="U67" s="106"/>
      <c r="V67" s="106">
        <f>'Pasture 5S'!C56</f>
        <v>0</v>
      </c>
      <c r="W67" s="106"/>
      <c r="X67" s="106">
        <f>'Pasture 6A'!C59</f>
        <v>24.008333333333336</v>
      </c>
      <c r="Y67" s="106">
        <f>'Pasture 6B'!C59</f>
        <v>66.5</v>
      </c>
      <c r="Z67" s="106">
        <f>'Pasture 6C'!C59</f>
        <v>0</v>
      </c>
      <c r="AA67" s="106"/>
      <c r="AB67" s="106"/>
      <c r="AC67" s="106">
        <f>'Pasture 8'!C60</f>
        <v>20.349999999999998</v>
      </c>
      <c r="AD67" s="106">
        <f>'Pasture 9'!C66</f>
        <v>25.333333333333332</v>
      </c>
      <c r="AE67" s="106">
        <f>'Pasture 10'!C66</f>
        <v>17.074999999999999</v>
      </c>
      <c r="AF67" s="106"/>
      <c r="AG67" s="106">
        <f>'Pasture 11A'!C53</f>
        <v>11.450000000000001</v>
      </c>
      <c r="AH67" s="106">
        <f>'Pasture 11B'!C53</f>
        <v>5.1749999999999998</v>
      </c>
      <c r="AI67" s="106"/>
      <c r="AJ67" s="106"/>
      <c r="AK67" s="106">
        <f>'Pasture 12A'!C50</f>
        <v>31.616666666666671</v>
      </c>
      <c r="AL67" s="106">
        <f>'Pasture 12B'!C50</f>
        <v>34.824999999999996</v>
      </c>
      <c r="AM67" s="106"/>
      <c r="AN67" s="106"/>
      <c r="AO67" s="106"/>
      <c r="AP67" s="106">
        <f>'Pasture 15'!C46</f>
        <v>0</v>
      </c>
      <c r="AQ67" s="106">
        <f>'Pasture 140'!C34</f>
        <v>0</v>
      </c>
      <c r="AR67" s="112"/>
      <c r="AS67" s="107">
        <f t="shared" si="0"/>
        <v>1972</v>
      </c>
      <c r="AT67" s="106">
        <f t="shared" si="1"/>
        <v>551.85</v>
      </c>
      <c r="AU67" s="108">
        <f>'Percent Area'!AT66</f>
        <v>19521.409</v>
      </c>
      <c r="AV67" s="109">
        <f t="shared" si="2"/>
        <v>2.8268963577372925E-2</v>
      </c>
      <c r="AW67" s="110">
        <f t="shared" si="3"/>
        <v>1.1440292827751082E-2</v>
      </c>
      <c r="AX67" s="111">
        <f t="shared" si="4"/>
        <v>1.1440292827751082</v>
      </c>
    </row>
    <row r="68" spans="1:50" x14ac:dyDescent="0.3">
      <c r="A68" s="105">
        <v>1973</v>
      </c>
      <c r="B68" s="106">
        <f>'Pasture 1'!C68</f>
        <v>9.4166666666666661</v>
      </c>
      <c r="C68" s="106"/>
      <c r="D68" s="106">
        <f>'Pasture 2N'!C60</f>
        <v>44.558333333333337</v>
      </c>
      <c r="E68" s="106">
        <f>'Pasture 2SW'!C60</f>
        <v>28.666666666666668</v>
      </c>
      <c r="F68" s="106">
        <f>'UA Cell D'!C60</f>
        <v>37.666666666666664</v>
      </c>
      <c r="G68" s="106">
        <f>'UA Cell F'!C60</f>
        <v>9.6583333333333332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>
        <f>'Pasture 3'!C54</f>
        <v>15.933333333333332</v>
      </c>
      <c r="R68" s="106">
        <f>'Pasture 4'!C60</f>
        <v>25.166666666666668</v>
      </c>
      <c r="S68" s="106"/>
      <c r="T68" s="106">
        <f>'Pasture 5N'!C57</f>
        <v>38.408333333333331</v>
      </c>
      <c r="U68" s="106"/>
      <c r="V68" s="106">
        <f>'Pasture 5S'!C57</f>
        <v>50.449999999999996</v>
      </c>
      <c r="W68" s="106"/>
      <c r="X68" s="106">
        <f>'Pasture 6A'!C60</f>
        <v>114.89166666666667</v>
      </c>
      <c r="Y68" s="106">
        <f>'Pasture 6B'!C60</f>
        <v>14.333333333333334</v>
      </c>
      <c r="Z68" s="106">
        <f>'Pasture 6C'!C60</f>
        <v>10.125</v>
      </c>
      <c r="AA68" s="106"/>
      <c r="AB68" s="106"/>
      <c r="AC68" s="106">
        <f>'Pasture 8'!C61</f>
        <v>21</v>
      </c>
      <c r="AD68" s="106">
        <f>'Pasture 9'!C67</f>
        <v>17.333333333333332</v>
      </c>
      <c r="AE68" s="106">
        <f>'Pasture 10'!C67</f>
        <v>23.5</v>
      </c>
      <c r="AF68" s="106"/>
      <c r="AG68" s="106">
        <f>'Pasture 11A'!C54</f>
        <v>11.666666666666666</v>
      </c>
      <c r="AH68" s="106">
        <f>'Pasture 11B'!C54</f>
        <v>5.5750000000000002</v>
      </c>
      <c r="AI68" s="106"/>
      <c r="AJ68" s="106"/>
      <c r="AK68" s="106">
        <f>'Pasture 12A'!C51</f>
        <v>27.866666666666664</v>
      </c>
      <c r="AL68" s="106">
        <f>'Pasture 12B'!C51</f>
        <v>7.4333333333333336</v>
      </c>
      <c r="AM68" s="106"/>
      <c r="AN68" s="106"/>
      <c r="AO68" s="106"/>
      <c r="AP68" s="106">
        <f>'Pasture 15'!C47</f>
        <v>0</v>
      </c>
      <c r="AQ68" s="106">
        <f>'Pasture 140'!C35</f>
        <v>0</v>
      </c>
      <c r="AR68" s="112"/>
      <c r="AS68" s="107">
        <f t="shared" ref="AS68:AS105" si="5">A68</f>
        <v>1973</v>
      </c>
      <c r="AT68" s="106">
        <f t="shared" ref="AT68:AT114" si="6">SUM(B68:AQ68)</f>
        <v>513.65</v>
      </c>
      <c r="AU68" s="108">
        <f>'Percent Area'!AT67</f>
        <v>19521.409</v>
      </c>
      <c r="AV68" s="109">
        <f t="shared" ref="AV68:AV111" si="7">AT68/AU68</f>
        <v>2.6312137612607776E-2</v>
      </c>
      <c r="AW68" s="110">
        <f t="shared" ref="AW68:AW111" si="8">AV68/2.471</f>
        <v>1.0648376209068302E-2</v>
      </c>
      <c r="AX68" s="111">
        <f t="shared" ref="AX68:AX111" si="9">AW68*100</f>
        <v>1.0648376209068302</v>
      </c>
    </row>
    <row r="69" spans="1:50" x14ac:dyDescent="0.3">
      <c r="A69" s="105">
        <v>1974</v>
      </c>
      <c r="B69" s="106">
        <f>'Pasture 1'!C69</f>
        <v>17.341666666666665</v>
      </c>
      <c r="C69" s="106"/>
      <c r="D69" s="106">
        <f>'Pasture 2N'!C61</f>
        <v>44.941666666666663</v>
      </c>
      <c r="E69" s="106">
        <f>'Pasture 2SW'!C61</f>
        <v>123.66666666666667</v>
      </c>
      <c r="F69" s="106">
        <f>'UA Cell D'!C61</f>
        <v>4.333333333333333</v>
      </c>
      <c r="G69" s="106">
        <f>'UA Cell F'!C61</f>
        <v>4.0166666666666666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>
        <f>'Pasture 3'!C55</f>
        <v>65</v>
      </c>
      <c r="R69" s="106">
        <f>'Pasture 4'!C61</f>
        <v>27.766666666666666</v>
      </c>
      <c r="S69" s="106"/>
      <c r="T69" s="106">
        <f>'Pasture 5N'!C58</f>
        <v>41.616666666666667</v>
      </c>
      <c r="U69" s="106"/>
      <c r="V69" s="106">
        <f>'Pasture 5S'!C58</f>
        <v>9.5333333333333332</v>
      </c>
      <c r="W69" s="106"/>
      <c r="X69" s="106">
        <f>'Pasture 6A'!C61</f>
        <v>19.591666666666665</v>
      </c>
      <c r="Y69" s="106">
        <f>'Pasture 6B'!C61</f>
        <v>30.508333333333336</v>
      </c>
      <c r="Z69" s="106">
        <f>'Pasture 6C'!C61</f>
        <v>12.841666666666667</v>
      </c>
      <c r="AA69" s="106"/>
      <c r="AB69" s="106"/>
      <c r="AC69" s="106">
        <f>'Pasture 8'!C62</f>
        <v>21</v>
      </c>
      <c r="AD69" s="106">
        <f>'Pasture 9'!C68</f>
        <v>16.258333333333333</v>
      </c>
      <c r="AE69" s="106">
        <f>'Pasture 10'!C68</f>
        <v>16.341666666666665</v>
      </c>
      <c r="AF69" s="106"/>
      <c r="AG69" s="106">
        <f>'Pasture 11A'!C55</f>
        <v>14.391666666666666</v>
      </c>
      <c r="AH69" s="106">
        <f>'Pasture 11B'!C55</f>
        <v>5.875</v>
      </c>
      <c r="AI69" s="106"/>
      <c r="AJ69" s="106"/>
      <c r="AK69" s="106">
        <f>'Pasture 12A'!C52</f>
        <v>22.791666666666668</v>
      </c>
      <c r="AL69" s="106">
        <f>'Pasture 12B'!C52</f>
        <v>18.408333333333331</v>
      </c>
      <c r="AM69" s="106"/>
      <c r="AN69" s="106"/>
      <c r="AO69" s="106"/>
      <c r="AP69" s="106"/>
      <c r="AQ69" s="106"/>
      <c r="AR69" s="112"/>
      <c r="AS69" s="107">
        <f t="shared" si="5"/>
        <v>1974</v>
      </c>
      <c r="AT69" s="106">
        <f t="shared" si="6"/>
        <v>516.22499999999991</v>
      </c>
      <c r="AU69" s="108">
        <f>'Percent Area'!AT68</f>
        <v>19521.409</v>
      </c>
      <c r="AV69" s="109">
        <f t="shared" si="7"/>
        <v>2.6444044074892335E-2</v>
      </c>
      <c r="AW69" s="110">
        <f t="shared" si="8"/>
        <v>1.0701758023024012E-2</v>
      </c>
      <c r="AX69" s="111">
        <f t="shared" si="9"/>
        <v>1.0701758023024013</v>
      </c>
    </row>
    <row r="70" spans="1:50" x14ac:dyDescent="0.3">
      <c r="A70" s="105">
        <v>1975</v>
      </c>
      <c r="B70" s="106">
        <f>'Pasture 1'!C70</f>
        <v>3.1916666666666664</v>
      </c>
      <c r="C70" s="106"/>
      <c r="D70" s="106">
        <f>'Pasture 2N'!C62</f>
        <v>44.475000000000001</v>
      </c>
      <c r="E70" s="106">
        <f>'Pasture 2SW'!C62</f>
        <v>28.666666666666668</v>
      </c>
      <c r="F70" s="106">
        <f>'UA Cell D'!C62</f>
        <v>4.5249999999999995</v>
      </c>
      <c r="G70" s="106">
        <f>'UA Cell F'!C62</f>
        <v>17.774999999999999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>
        <f>'Pasture 3'!C56</f>
        <v>15</v>
      </c>
      <c r="R70" s="106">
        <f>'Pasture 4'!C62</f>
        <v>23.675000000000001</v>
      </c>
      <c r="S70" s="106"/>
      <c r="T70" s="106">
        <f>'Pasture 5N'!C59</f>
        <v>42.341666666666661</v>
      </c>
      <c r="U70" s="106"/>
      <c r="V70" s="106">
        <f>'Pasture 5S'!C59</f>
        <v>16.2</v>
      </c>
      <c r="W70" s="106"/>
      <c r="X70" s="106">
        <f>'Pasture 6A'!C62</f>
        <v>30.183333333333334</v>
      </c>
      <c r="Y70" s="106">
        <f>'Pasture 6B'!C62</f>
        <v>121.18333333333334</v>
      </c>
      <c r="Z70" s="106">
        <f>'Pasture 6C'!C62</f>
        <v>9.0916666666666668</v>
      </c>
      <c r="AA70" s="106"/>
      <c r="AB70" s="106"/>
      <c r="AC70" s="106">
        <f>'Pasture 8'!C63</f>
        <v>21</v>
      </c>
      <c r="AD70" s="106">
        <f>'Pasture 9'!C69</f>
        <v>18.8</v>
      </c>
      <c r="AE70" s="106">
        <f>'Pasture 10'!C69</f>
        <v>19.633333333333333</v>
      </c>
      <c r="AF70" s="106"/>
      <c r="AG70" s="106">
        <f>'Pasture 11A'!C56</f>
        <v>20.433333333333334</v>
      </c>
      <c r="AH70" s="106">
        <f>'Pasture 11B'!C56</f>
        <v>0.31666666666666665</v>
      </c>
      <c r="AI70" s="106"/>
      <c r="AJ70" s="106"/>
      <c r="AK70" s="106">
        <f>'Pasture 12A'!C53</f>
        <v>26.700000000000003</v>
      </c>
      <c r="AL70" s="106">
        <f>'Pasture 12B'!C53</f>
        <v>58.658333333333331</v>
      </c>
      <c r="AM70" s="106"/>
      <c r="AN70" s="106"/>
      <c r="AO70" s="106"/>
      <c r="AP70" s="106">
        <f>'Pasture 15'!C49</f>
        <v>4.166666666666667</v>
      </c>
      <c r="AQ70" s="106"/>
      <c r="AR70" s="112"/>
      <c r="AS70" s="107">
        <f t="shared" si="5"/>
        <v>1975</v>
      </c>
      <c r="AT70" s="106">
        <f t="shared" si="6"/>
        <v>526.01666666666665</v>
      </c>
      <c r="AU70" s="108">
        <f>'Percent Area'!AT69</f>
        <v>19521.409</v>
      </c>
      <c r="AV70" s="109">
        <f t="shared" si="7"/>
        <v>2.6945630136977646E-2</v>
      </c>
      <c r="AW70" s="110">
        <f t="shared" si="8"/>
        <v>1.0904747121399289E-2</v>
      </c>
      <c r="AX70" s="111">
        <f t="shared" si="9"/>
        <v>1.090474712139929</v>
      </c>
    </row>
    <row r="71" spans="1:50" x14ac:dyDescent="0.3">
      <c r="A71" s="105">
        <v>1976</v>
      </c>
      <c r="B71" s="106">
        <f>'Pasture 1'!C71</f>
        <v>4.2333333333333334</v>
      </c>
      <c r="C71" s="106"/>
      <c r="D71" s="106">
        <f>'Pasture 2N'!C63</f>
        <v>46.933333333333337</v>
      </c>
      <c r="E71" s="106">
        <f>'Pasture 2SW'!C63</f>
        <v>28.666666666666668</v>
      </c>
      <c r="F71" s="106">
        <f>'UA Cell D'!C63</f>
        <v>37.666666666666664</v>
      </c>
      <c r="G71" s="106">
        <f>'UA Cell F'!C63</f>
        <v>8.6666666666666661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>
        <f>'Pasture 3'!C57</f>
        <v>15</v>
      </c>
      <c r="R71" s="106">
        <f>'Pasture 4'!C63</f>
        <v>13.358333333333333</v>
      </c>
      <c r="S71" s="106"/>
      <c r="T71" s="106">
        <f>'Pasture 5N'!C60</f>
        <v>42.783333333333331</v>
      </c>
      <c r="U71" s="106"/>
      <c r="V71" s="106">
        <f>'Pasture 5S'!C60</f>
        <v>69.86666666666666</v>
      </c>
      <c r="W71" s="106"/>
      <c r="X71" s="106">
        <f>'Pasture 6A'!C63</f>
        <v>118.79166666666667</v>
      </c>
      <c r="Y71" s="106">
        <f>'Pasture 6B'!C63</f>
        <v>28.916666666666668</v>
      </c>
      <c r="Z71" s="106">
        <f>'Pasture 6C'!C63</f>
        <v>21.083333333333332</v>
      </c>
      <c r="AA71" s="106"/>
      <c r="AB71" s="106"/>
      <c r="AC71" s="106">
        <f>'Pasture 8'!C64</f>
        <v>21</v>
      </c>
      <c r="AD71" s="106">
        <f>'Pasture 9'!C70</f>
        <v>9.6</v>
      </c>
      <c r="AE71" s="106">
        <f>'Pasture 10'!C70</f>
        <v>9.25</v>
      </c>
      <c r="AF71" s="106"/>
      <c r="AG71" s="106">
        <f>'Pasture 11A'!C57</f>
        <v>0</v>
      </c>
      <c r="AH71" s="106">
        <f>'Pasture 11B'!C57</f>
        <v>0.42499999999999999</v>
      </c>
      <c r="AI71" s="106"/>
      <c r="AJ71" s="106"/>
      <c r="AK71" s="106">
        <f>'Pasture 12A'!C54</f>
        <v>18.983333333333334</v>
      </c>
      <c r="AL71" s="106">
        <f>'Pasture 12B'!C54</f>
        <v>15</v>
      </c>
      <c r="AM71" s="106"/>
      <c r="AN71" s="106"/>
      <c r="AO71" s="106"/>
      <c r="AP71" s="106">
        <f>'Pasture 15'!C50</f>
        <v>12.841666666666667</v>
      </c>
      <c r="AQ71" s="106"/>
      <c r="AR71" s="112"/>
      <c r="AS71" s="107">
        <f t="shared" si="5"/>
        <v>1976</v>
      </c>
      <c r="AT71" s="106">
        <f t="shared" si="6"/>
        <v>523.06666666666672</v>
      </c>
      <c r="AU71" s="108">
        <f>'Percent Area'!AT70</f>
        <v>19521.409</v>
      </c>
      <c r="AV71" s="109">
        <f t="shared" si="7"/>
        <v>2.679451399571961E-2</v>
      </c>
      <c r="AW71" s="110">
        <f t="shared" si="8"/>
        <v>1.0843591256867506E-2</v>
      </c>
      <c r="AX71" s="111">
        <f t="shared" si="9"/>
        <v>1.0843591256867506</v>
      </c>
    </row>
    <row r="72" spans="1:50" x14ac:dyDescent="0.3">
      <c r="A72" s="105">
        <v>1977</v>
      </c>
      <c r="B72" s="106">
        <f>'Pasture 1'!C72</f>
        <v>37.666666666666664</v>
      </c>
      <c r="C72" s="106"/>
      <c r="D72" s="106">
        <f>'Pasture 2N'!C64</f>
        <v>47</v>
      </c>
      <c r="E72" s="106">
        <f>'Pasture 2SW'!C64</f>
        <v>123.66666666666667</v>
      </c>
      <c r="F72" s="106">
        <f>'UA Cell D'!C64</f>
        <v>8.6666666666666661</v>
      </c>
      <c r="G72" s="106">
        <f>'UA Cell F'!C64</f>
        <v>8.6666666666666661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>
        <f>'Pasture 3'!C58</f>
        <v>65</v>
      </c>
      <c r="R72" s="106"/>
      <c r="S72" s="106"/>
      <c r="T72" s="106">
        <f>'Pasture 5N'!C61</f>
        <v>42</v>
      </c>
      <c r="U72" s="106"/>
      <c r="V72" s="106">
        <f>'Pasture 5S'!C61</f>
        <v>15</v>
      </c>
      <c r="W72" s="106"/>
      <c r="X72" s="106">
        <f>'Pasture 6A'!C64</f>
        <v>28.666666666666668</v>
      </c>
      <c r="Y72" s="106">
        <f>'Pasture 6B'!C64</f>
        <v>28.666666666666668</v>
      </c>
      <c r="Z72" s="106"/>
      <c r="AA72" s="106"/>
      <c r="AB72" s="106"/>
      <c r="AC72" s="106">
        <f>'Pasture 8'!C65</f>
        <v>21</v>
      </c>
      <c r="AD72" s="106"/>
      <c r="AE72" s="106"/>
      <c r="AF72" s="106"/>
      <c r="AG72" s="106"/>
      <c r="AH72" s="106"/>
      <c r="AI72" s="106"/>
      <c r="AJ72" s="106"/>
      <c r="AK72" s="106"/>
      <c r="AL72" s="106">
        <f>'Pasture 12B'!C55</f>
        <v>15</v>
      </c>
      <c r="AM72" s="106"/>
      <c r="AN72" s="106"/>
      <c r="AO72" s="106"/>
      <c r="AP72" s="106"/>
      <c r="AQ72" s="106"/>
      <c r="AR72" s="112"/>
      <c r="AS72" s="107">
        <f t="shared" si="5"/>
        <v>1977</v>
      </c>
      <c r="AT72" s="106">
        <f t="shared" si="6"/>
        <v>441</v>
      </c>
      <c r="AU72" s="108">
        <f>'Percent Area'!AT71</f>
        <v>19519.718999999997</v>
      </c>
      <c r="AV72" s="109">
        <f t="shared" si="7"/>
        <v>2.2592538345454667E-2</v>
      </c>
      <c r="AW72" s="110">
        <f t="shared" si="8"/>
        <v>9.1430750082778893E-3</v>
      </c>
      <c r="AX72" s="111">
        <f t="shared" si="9"/>
        <v>0.91430750082778889</v>
      </c>
    </row>
    <row r="73" spans="1:50" x14ac:dyDescent="0.3">
      <c r="A73" s="105">
        <v>1978</v>
      </c>
      <c r="B73" s="106">
        <f>'Pasture 1'!C73</f>
        <v>8.6666666666666661</v>
      </c>
      <c r="C73" s="106"/>
      <c r="D73" s="106">
        <f>'Pasture 2N'!C65</f>
        <v>47</v>
      </c>
      <c r="E73" s="106">
        <f>'Pasture 2SW'!C65</f>
        <v>28.666666666666668</v>
      </c>
      <c r="F73" s="106">
        <f>'UA Cell D'!C65</f>
        <v>8.6666666666666661</v>
      </c>
      <c r="G73" s="106">
        <f>'UA Cell F'!C65</f>
        <v>37.666666666666664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>
        <f>'Pasture 3'!C59</f>
        <v>15</v>
      </c>
      <c r="R73" s="106"/>
      <c r="S73" s="106"/>
      <c r="T73" s="106">
        <f>'Pasture 5N'!C62</f>
        <v>42</v>
      </c>
      <c r="U73" s="106"/>
      <c r="V73" s="106">
        <f>'Pasture 5S'!C62</f>
        <v>15</v>
      </c>
      <c r="W73" s="106"/>
      <c r="X73" s="106">
        <f>'Pasture 6A'!C65</f>
        <v>28.666666666666668</v>
      </c>
      <c r="Y73" s="106">
        <f>'Pasture 6B'!C65</f>
        <v>123.66666666666667</v>
      </c>
      <c r="Z73" s="106"/>
      <c r="AA73" s="106"/>
      <c r="AB73" s="106"/>
      <c r="AC73" s="106">
        <f>'Pasture 8'!C66</f>
        <v>21</v>
      </c>
      <c r="AD73" s="106"/>
      <c r="AE73" s="106"/>
      <c r="AF73" s="106"/>
      <c r="AG73" s="106"/>
      <c r="AH73" s="106"/>
      <c r="AI73" s="106"/>
      <c r="AJ73" s="106"/>
      <c r="AK73" s="106"/>
      <c r="AL73" s="106">
        <f>'Pasture 12B'!C56</f>
        <v>65</v>
      </c>
      <c r="AM73" s="106"/>
      <c r="AN73" s="106"/>
      <c r="AO73" s="106"/>
      <c r="AP73" s="106"/>
      <c r="AQ73" s="106"/>
      <c r="AR73" s="112"/>
      <c r="AS73" s="107">
        <f t="shared" si="5"/>
        <v>1978</v>
      </c>
      <c r="AT73" s="106">
        <f t="shared" si="6"/>
        <v>441</v>
      </c>
      <c r="AU73" s="108">
        <f>'Percent Area'!AT72</f>
        <v>19519.718999999997</v>
      </c>
      <c r="AV73" s="109">
        <f>AT73/AU73</f>
        <v>2.2592538345454667E-2</v>
      </c>
      <c r="AW73" s="110">
        <f t="shared" si="8"/>
        <v>9.1430750082778893E-3</v>
      </c>
      <c r="AX73" s="111">
        <f t="shared" si="9"/>
        <v>0.91430750082778889</v>
      </c>
    </row>
    <row r="74" spans="1:50" x14ac:dyDescent="0.3">
      <c r="A74" s="105">
        <v>1979</v>
      </c>
      <c r="B74" s="106">
        <f>'Pasture 1'!C74</f>
        <v>8.6666666666666661</v>
      </c>
      <c r="C74" s="106"/>
      <c r="D74" s="106">
        <f>'Pasture 2N'!C66</f>
        <v>47</v>
      </c>
      <c r="E74" s="106">
        <f>'Pasture 2SW'!C66</f>
        <v>28.666666666666668</v>
      </c>
      <c r="F74" s="106">
        <f>'UA Cell D'!C66</f>
        <v>37.666666666666664</v>
      </c>
      <c r="G74" s="106">
        <f>'UA Cell F'!C66</f>
        <v>8.6666666666666661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>
        <f>'Pasture 3'!C60</f>
        <v>15</v>
      </c>
      <c r="R74" s="106"/>
      <c r="S74" s="106"/>
      <c r="T74" s="106">
        <f>'Pasture 5N'!C63</f>
        <v>42</v>
      </c>
      <c r="U74" s="106"/>
      <c r="V74" s="106">
        <f>'Pasture 5S'!C63</f>
        <v>65</v>
      </c>
      <c r="W74" s="106"/>
      <c r="X74" s="106">
        <f>'Pasture 6A'!C66</f>
        <v>123.66666666666667</v>
      </c>
      <c r="Y74" s="106">
        <f>'Pasture 6B'!C66</f>
        <v>28.666666666666668</v>
      </c>
      <c r="Z74" s="106"/>
      <c r="AA74" s="106"/>
      <c r="AB74" s="106"/>
      <c r="AC74" s="106">
        <f>'Pasture 8'!C67</f>
        <v>21</v>
      </c>
      <c r="AD74" s="106"/>
      <c r="AE74" s="106"/>
      <c r="AF74" s="106"/>
      <c r="AG74" s="106"/>
      <c r="AH74" s="106"/>
      <c r="AI74" s="106"/>
      <c r="AJ74" s="106"/>
      <c r="AK74" s="106"/>
      <c r="AL74" s="106">
        <f>'Pasture 12B'!C57</f>
        <v>15</v>
      </c>
      <c r="AM74" s="106"/>
      <c r="AN74" s="106"/>
      <c r="AO74" s="106"/>
      <c r="AP74" s="106"/>
      <c r="AQ74" s="106"/>
      <c r="AR74" s="112"/>
      <c r="AS74" s="107">
        <f t="shared" si="5"/>
        <v>1979</v>
      </c>
      <c r="AT74" s="106">
        <f t="shared" si="6"/>
        <v>441</v>
      </c>
      <c r="AU74" s="108">
        <f>'Percent Area'!AT73</f>
        <v>19519.718999999997</v>
      </c>
      <c r="AV74" s="109">
        <f t="shared" si="7"/>
        <v>2.2592538345454667E-2</v>
      </c>
      <c r="AW74" s="110">
        <f t="shared" si="8"/>
        <v>9.1430750082778893E-3</v>
      </c>
      <c r="AX74" s="111">
        <f t="shared" si="9"/>
        <v>0.91430750082778889</v>
      </c>
    </row>
    <row r="75" spans="1:50" x14ac:dyDescent="0.3">
      <c r="A75" s="105">
        <v>1980</v>
      </c>
      <c r="B75" s="106">
        <f>'Pasture 1'!C75</f>
        <v>37.666666666666664</v>
      </c>
      <c r="C75" s="106"/>
      <c r="D75" s="106">
        <f>'Pasture 2N'!C67</f>
        <v>47</v>
      </c>
      <c r="E75" s="106">
        <f>'Pasture 2SW'!C67</f>
        <v>123.66666666666667</v>
      </c>
      <c r="F75" s="106">
        <f>'UA Cell D'!C67</f>
        <v>8.6666666666666661</v>
      </c>
      <c r="G75" s="106">
        <f>'UA Cell F'!C67</f>
        <v>8.6666666666666661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>
        <f>'Pasture 3'!C61</f>
        <v>65</v>
      </c>
      <c r="R75" s="106"/>
      <c r="S75" s="106"/>
      <c r="T75" s="106">
        <f>'Pasture 5N'!C64</f>
        <v>40.333333333333336</v>
      </c>
      <c r="U75" s="106"/>
      <c r="V75" s="106">
        <f>'Pasture 5S'!C64</f>
        <v>15</v>
      </c>
      <c r="W75" s="106"/>
      <c r="X75" s="106">
        <f>'Pasture 6A'!C67</f>
        <v>28.666666666666668</v>
      </c>
      <c r="Y75" s="106">
        <f>'Pasture 6B'!C67</f>
        <v>28.666666666666668</v>
      </c>
      <c r="Z75" s="106"/>
      <c r="AA75" s="106"/>
      <c r="AB75" s="106"/>
      <c r="AC75" s="106">
        <f>'Pasture 8'!C68</f>
        <v>21</v>
      </c>
      <c r="AD75" s="106"/>
      <c r="AE75" s="106"/>
      <c r="AF75" s="106"/>
      <c r="AG75" s="106"/>
      <c r="AH75" s="106"/>
      <c r="AI75" s="106"/>
      <c r="AJ75" s="106"/>
      <c r="AK75" s="106"/>
      <c r="AL75" s="106">
        <f>'Pasture 12B'!C58</f>
        <v>15</v>
      </c>
      <c r="AM75" s="106"/>
      <c r="AN75" s="106"/>
      <c r="AO75" s="106"/>
      <c r="AP75" s="106"/>
      <c r="AQ75" s="106"/>
      <c r="AR75" s="112"/>
      <c r="AS75" s="107">
        <f t="shared" si="5"/>
        <v>1980</v>
      </c>
      <c r="AT75" s="106">
        <f t="shared" si="6"/>
        <v>439.33333333333331</v>
      </c>
      <c r="AU75" s="108">
        <f>'Percent Area'!AT74</f>
        <v>19519.718999999997</v>
      </c>
      <c r="AV75" s="109">
        <f t="shared" si="7"/>
        <v>2.2507154602652495E-2</v>
      </c>
      <c r="AW75" s="110">
        <f t="shared" si="8"/>
        <v>9.1085206809601357E-3</v>
      </c>
      <c r="AX75" s="111">
        <f t="shared" si="9"/>
        <v>0.9108520680960136</v>
      </c>
    </row>
    <row r="76" spans="1:50" x14ac:dyDescent="0.3">
      <c r="A76" s="105">
        <v>1981</v>
      </c>
      <c r="B76" s="106">
        <f>'Pasture 1'!C76</f>
        <v>8.6666666666666661</v>
      </c>
      <c r="C76" s="106"/>
      <c r="D76" s="106">
        <f>'Pasture 2N'!C68</f>
        <v>47</v>
      </c>
      <c r="E76" s="106">
        <f>'Pasture 2SW'!C68</f>
        <v>28.666666666666668</v>
      </c>
      <c r="F76" s="106">
        <f>'UA Cell D'!C68</f>
        <v>8.6666666666666661</v>
      </c>
      <c r="G76" s="106">
        <f>'UA Cell F'!C68</f>
        <v>37.666666666666664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>
        <f>'Pasture 3'!C62</f>
        <v>15</v>
      </c>
      <c r="R76" s="106"/>
      <c r="S76" s="106"/>
      <c r="T76" s="106">
        <f>'Pasture 5N'!C65</f>
        <v>32</v>
      </c>
      <c r="U76" s="106"/>
      <c r="V76" s="106">
        <f>'Pasture 5S'!C65</f>
        <v>15</v>
      </c>
      <c r="W76" s="106"/>
      <c r="X76" s="106">
        <f>'Pasture 6A'!C68</f>
        <v>28.666666666666668</v>
      </c>
      <c r="Y76" s="106">
        <f>'Pasture 6B'!C68</f>
        <v>123.66666666666667</v>
      </c>
      <c r="Z76" s="106"/>
      <c r="AA76" s="106"/>
      <c r="AB76" s="106"/>
      <c r="AC76" s="106">
        <f>'Pasture 8'!C69</f>
        <v>21</v>
      </c>
      <c r="AD76" s="106"/>
      <c r="AE76" s="106"/>
      <c r="AF76" s="106"/>
      <c r="AG76" s="106"/>
      <c r="AH76" s="106"/>
      <c r="AI76" s="106"/>
      <c r="AJ76" s="106"/>
      <c r="AK76" s="106"/>
      <c r="AL76" s="106">
        <f>'Pasture 12B'!C59</f>
        <v>65</v>
      </c>
      <c r="AM76" s="106"/>
      <c r="AN76" s="106"/>
      <c r="AO76" s="106"/>
      <c r="AP76" s="106"/>
      <c r="AQ76" s="106"/>
      <c r="AR76" s="112"/>
      <c r="AS76" s="107">
        <f t="shared" si="5"/>
        <v>1981</v>
      </c>
      <c r="AT76" s="106">
        <f t="shared" si="6"/>
        <v>431</v>
      </c>
      <c r="AU76" s="108">
        <f>'Percent Area'!AT75</f>
        <v>19519.718999999997</v>
      </c>
      <c r="AV76" s="109">
        <f t="shared" si="7"/>
        <v>2.2080235888641636E-2</v>
      </c>
      <c r="AW76" s="110">
        <f t="shared" si="8"/>
        <v>8.9357490443713623E-3</v>
      </c>
      <c r="AX76" s="111">
        <f t="shared" si="9"/>
        <v>0.89357490443713627</v>
      </c>
    </row>
    <row r="77" spans="1:50" x14ac:dyDescent="0.3">
      <c r="A77" s="105">
        <v>1982</v>
      </c>
      <c r="B77" s="106">
        <f>'Pasture 1'!C77</f>
        <v>8.6666666666666661</v>
      </c>
      <c r="C77" s="106"/>
      <c r="D77" s="106">
        <f>'Pasture 2N'!C69</f>
        <v>46.833333333333336</v>
      </c>
      <c r="E77" s="106">
        <f>'Pasture 2SW'!C69</f>
        <v>28.666666666666668</v>
      </c>
      <c r="F77" s="106">
        <f>'UA Cell D'!C69</f>
        <v>37.666666666666664</v>
      </c>
      <c r="G77" s="106">
        <f>'UA Cell F'!C69</f>
        <v>10.166666666666666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>
        <f>'Pasture 3'!C63</f>
        <v>11.25</v>
      </c>
      <c r="R77" s="106">
        <f>'Pasture 4'!C69</f>
        <v>6.25</v>
      </c>
      <c r="S77" s="106"/>
      <c r="T77" s="106">
        <f>'Pasture 5N'!C66</f>
        <v>33.666666666666664</v>
      </c>
      <c r="U77" s="106"/>
      <c r="V77" s="106">
        <f>'Pasture 5S'!C66</f>
        <v>65</v>
      </c>
      <c r="W77" s="106"/>
      <c r="X77" s="106">
        <f>'Pasture 6A'!C69</f>
        <v>123.66666666666667</v>
      </c>
      <c r="Y77" s="106">
        <f>'Pasture 6B'!C69</f>
        <v>31.833333333333332</v>
      </c>
      <c r="Z77" s="106">
        <f>'Pasture 6C'!C69</f>
        <v>0</v>
      </c>
      <c r="AA77" s="106"/>
      <c r="AB77" s="106"/>
      <c r="AC77" s="106">
        <f>'Pasture 8'!C70</f>
        <v>21</v>
      </c>
      <c r="AD77" s="106"/>
      <c r="AE77" s="106"/>
      <c r="AF77" s="106"/>
      <c r="AG77" s="106">
        <f>'Pasture 11A'!C63</f>
        <v>0</v>
      </c>
      <c r="AH77" s="106">
        <f>'Pasture 11B'!C63</f>
        <v>0</v>
      </c>
      <c r="AI77" s="106"/>
      <c r="AJ77" s="106"/>
      <c r="AK77" s="106">
        <f>'Pasture 12A'!C60</f>
        <v>12.5</v>
      </c>
      <c r="AL77" s="106">
        <f>'Pasture 12B'!C60</f>
        <v>8.3333333333333339</v>
      </c>
      <c r="AM77" s="106"/>
      <c r="AN77" s="106"/>
      <c r="AO77" s="106"/>
      <c r="AP77" s="106">
        <f>'Pasture 15'!C56</f>
        <v>4.166666666666667</v>
      </c>
      <c r="AQ77" s="106">
        <f>'Pasture 140'!C44</f>
        <v>0</v>
      </c>
      <c r="AR77" s="112"/>
      <c r="AS77" s="107">
        <f t="shared" si="5"/>
        <v>1982</v>
      </c>
      <c r="AT77" s="106">
        <f t="shared" si="6"/>
        <v>449.66666666666663</v>
      </c>
      <c r="AU77" s="108">
        <f>'Percent Area'!AT76</f>
        <v>19520.788999999997</v>
      </c>
      <c r="AV77" s="109">
        <f t="shared" si="7"/>
        <v>2.3035271098246424E-2</v>
      </c>
      <c r="AW77" s="110">
        <f t="shared" si="8"/>
        <v>9.3222464986832954E-3</v>
      </c>
      <c r="AX77" s="111">
        <f t="shared" si="9"/>
        <v>0.93222464986832954</v>
      </c>
    </row>
    <row r="78" spans="1:50" x14ac:dyDescent="0.3">
      <c r="A78" s="105">
        <v>1983</v>
      </c>
      <c r="B78" s="106">
        <f>'Pasture 1'!C78</f>
        <v>42.666666666666664</v>
      </c>
      <c r="C78" s="106"/>
      <c r="D78" s="106">
        <f>'Pasture 2N'!C70</f>
        <v>47</v>
      </c>
      <c r="E78" s="106">
        <f>'Pasture 2SW'!C70</f>
        <v>123.66666666666667</v>
      </c>
      <c r="F78" s="106">
        <f>'UA Cell D'!C70</f>
        <v>10</v>
      </c>
      <c r="G78" s="106">
        <f>'UA Cell F'!C70</f>
        <v>10.166666666666666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>
        <f>'Pasture 3'!C64</f>
        <v>37.333333333333336</v>
      </c>
      <c r="R78" s="106">
        <f>'Pasture 4'!C70</f>
        <v>11.25</v>
      </c>
      <c r="S78" s="106"/>
      <c r="T78" s="106">
        <f>'Pasture 5N'!C67</f>
        <v>42</v>
      </c>
      <c r="U78" s="106"/>
      <c r="V78" s="106">
        <f>'Pasture 5S'!C67</f>
        <v>8.3333333333333339</v>
      </c>
      <c r="W78" s="106"/>
      <c r="X78" s="106">
        <f>'Pasture 6A'!C70</f>
        <v>30</v>
      </c>
      <c r="Y78" s="106">
        <f>'Pasture 6B'!C70</f>
        <v>31.833333333333332</v>
      </c>
      <c r="Z78" s="106">
        <f>'Pasture 6C'!C70</f>
        <v>5</v>
      </c>
      <c r="AA78" s="106"/>
      <c r="AB78" s="106"/>
      <c r="AC78" s="106">
        <f>'Pasture 8'!C71</f>
        <v>21</v>
      </c>
      <c r="AD78" s="106">
        <f>'Pasture 9'!C77</f>
        <v>3.4166666666666665</v>
      </c>
      <c r="AE78" s="106">
        <f>'Pasture 10'!C77</f>
        <v>3.4166666666666665</v>
      </c>
      <c r="AF78" s="106"/>
      <c r="AG78" s="106">
        <f>'Pasture 11A'!C64</f>
        <v>0</v>
      </c>
      <c r="AH78" s="106">
        <f>'Pasture 11B'!C64</f>
        <v>0</v>
      </c>
      <c r="AI78" s="106"/>
      <c r="AJ78" s="106"/>
      <c r="AK78" s="106">
        <f>'Pasture 12A'!C61</f>
        <v>20.5</v>
      </c>
      <c r="AL78" s="106">
        <f>'Pasture 12B'!C61</f>
        <v>8.3333333333333339</v>
      </c>
      <c r="AM78" s="106">
        <f>'Pasture 12C'!C61</f>
        <v>127.5</v>
      </c>
      <c r="AN78" s="106"/>
      <c r="AO78" s="106"/>
      <c r="AP78" s="106">
        <f>'Pasture 15'!C57</f>
        <v>25</v>
      </c>
      <c r="AQ78" s="106">
        <f>'Pasture 140'!C45</f>
        <v>0</v>
      </c>
      <c r="AR78" s="112"/>
      <c r="AS78" s="107">
        <f t="shared" si="5"/>
        <v>1983</v>
      </c>
      <c r="AT78" s="106">
        <f t="shared" si="6"/>
        <v>608.41666666666663</v>
      </c>
      <c r="AU78" s="108">
        <f>'Percent Area'!AT77</f>
        <v>19520.778999999999</v>
      </c>
      <c r="AV78" s="109">
        <f t="shared" si="7"/>
        <v>3.1167642780376065E-2</v>
      </c>
      <c r="AW78" s="110">
        <f t="shared" si="8"/>
        <v>1.2613372230018642E-2</v>
      </c>
      <c r="AX78" s="111">
        <f t="shared" si="9"/>
        <v>1.2613372230018642</v>
      </c>
    </row>
    <row r="79" spans="1:50" x14ac:dyDescent="0.3">
      <c r="A79" s="105">
        <v>1984</v>
      </c>
      <c r="B79" s="106">
        <f>'Pasture 1'!C79</f>
        <v>9.8333333333333339</v>
      </c>
      <c r="C79" s="106"/>
      <c r="D79" s="106">
        <f>'Pasture 2N'!C71</f>
        <v>53</v>
      </c>
      <c r="E79" s="106">
        <f>'Pasture 2SW'!C71</f>
        <v>17.333333333333332</v>
      </c>
      <c r="F79" s="106">
        <f>'UA Cell D'!C71</f>
        <v>10</v>
      </c>
      <c r="G79" s="106">
        <f>'UA Cell F'!C71</f>
        <v>42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>
        <f>'Pasture 3'!C65</f>
        <v>7.833333333333333</v>
      </c>
      <c r="R79" s="106">
        <f>'Pasture 4'!C71</f>
        <v>5</v>
      </c>
      <c r="S79" s="106"/>
      <c r="T79" s="106">
        <f>'Pasture 5N'!C68</f>
        <v>43</v>
      </c>
      <c r="U79" s="106"/>
      <c r="V79" s="106">
        <f>'Pasture 5S'!C68</f>
        <v>8.3333333333333339</v>
      </c>
      <c r="W79" s="106"/>
      <c r="X79" s="106">
        <f>'Pasture 6A'!C71</f>
        <v>44.5</v>
      </c>
      <c r="Y79" s="106">
        <f>'Pasture 6B'!C71</f>
        <v>129</v>
      </c>
      <c r="Z79" s="106">
        <f>'Pasture 6C'!C71</f>
        <v>7</v>
      </c>
      <c r="AA79" s="106"/>
      <c r="AB79" s="106"/>
      <c r="AC79" s="106">
        <f>'Pasture 8'!C72</f>
        <v>21</v>
      </c>
      <c r="AD79" s="106">
        <f>'Pasture 9'!C78</f>
        <v>20.5</v>
      </c>
      <c r="AE79" s="106">
        <f>'Pasture 10'!C78</f>
        <v>20.5</v>
      </c>
      <c r="AF79" s="106"/>
      <c r="AG79" s="106">
        <f>'Pasture 11A'!C65</f>
        <v>0</v>
      </c>
      <c r="AH79" s="106">
        <f>'Pasture 11B'!C65</f>
        <v>1.3333333333333333</v>
      </c>
      <c r="AI79" s="106"/>
      <c r="AJ79" s="106"/>
      <c r="AK79" s="106">
        <f>'Pasture 12A'!C62</f>
        <v>45.5</v>
      </c>
      <c r="AL79" s="106">
        <f>'Pasture 12B'!C62</f>
        <v>37.333333333333336</v>
      </c>
      <c r="AM79" s="106">
        <f>'Pasture 12C'!C62</f>
        <v>118</v>
      </c>
      <c r="AN79" s="106"/>
      <c r="AO79" s="106"/>
      <c r="AP79" s="106">
        <f>'Pasture 15'!C58</f>
        <v>25.166666666666668</v>
      </c>
      <c r="AQ79" s="106">
        <f>'Pasture 140'!C46</f>
        <v>0</v>
      </c>
      <c r="AR79" s="112"/>
      <c r="AS79" s="107">
        <f t="shared" si="5"/>
        <v>1984</v>
      </c>
      <c r="AT79" s="106">
        <f t="shared" si="6"/>
        <v>666.16666666666663</v>
      </c>
      <c r="AU79" s="108">
        <f>'Percent Area'!AT78</f>
        <v>19521.398999999998</v>
      </c>
      <c r="AV79" s="109">
        <f t="shared" si="7"/>
        <v>3.4124944972779188E-2</v>
      </c>
      <c r="AW79" s="110">
        <f t="shared" si="8"/>
        <v>1.3810176031072111E-2</v>
      </c>
      <c r="AX79" s="111">
        <f t="shared" si="9"/>
        <v>1.381017603107211</v>
      </c>
    </row>
    <row r="80" spans="1:50" x14ac:dyDescent="0.3">
      <c r="A80" s="105">
        <v>1985</v>
      </c>
      <c r="B80" s="106">
        <f>'Pasture 1'!C80</f>
        <v>9.8333333333333339</v>
      </c>
      <c r="C80" s="106"/>
      <c r="D80" s="106">
        <f>'Pasture 2N'!C72</f>
        <v>53</v>
      </c>
      <c r="E80" s="106">
        <f>'Pasture 2SW'!C72</f>
        <v>78</v>
      </c>
      <c r="F80" s="106">
        <f>'UA Cell D'!C72</f>
        <v>41.333333333333336</v>
      </c>
      <c r="G80" s="106">
        <f>'UA Cell F'!C72</f>
        <v>10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>
        <f>'Pasture 3'!C66</f>
        <v>7.833333333333333</v>
      </c>
      <c r="R80" s="106">
        <f>'Pasture 4'!C72</f>
        <v>0</v>
      </c>
      <c r="S80" s="106"/>
      <c r="T80" s="106">
        <f>'Pasture 5N'!C69</f>
        <v>48.666666666666664</v>
      </c>
      <c r="U80" s="106"/>
      <c r="V80" s="106">
        <f>'Pasture 5S'!C69</f>
        <v>42.833333333333336</v>
      </c>
      <c r="W80" s="106"/>
      <c r="X80" s="106">
        <f>'Pasture 6A'!C72</f>
        <v>14.5</v>
      </c>
      <c r="Y80" s="106">
        <f>'Pasture 6B'!C72</f>
        <v>76.166666666666671</v>
      </c>
      <c r="Z80" s="106">
        <f>'Pasture 6C'!C72</f>
        <v>4</v>
      </c>
      <c r="AA80" s="106"/>
      <c r="AB80" s="106"/>
      <c r="AC80" s="106">
        <f>'Pasture 8'!C73</f>
        <v>21.833333333333332</v>
      </c>
      <c r="AD80" s="106">
        <f>'Pasture 9'!C79</f>
        <v>20.5</v>
      </c>
      <c r="AE80" s="106">
        <f>'Pasture 10'!C79</f>
        <v>20.5</v>
      </c>
      <c r="AF80" s="106"/>
      <c r="AG80" s="106">
        <f>'Pasture 11A'!C66</f>
        <v>0</v>
      </c>
      <c r="AH80" s="106">
        <f>'Pasture 11B'!C66</f>
        <v>8</v>
      </c>
      <c r="AI80" s="106"/>
      <c r="AJ80" s="106"/>
      <c r="AK80" s="106">
        <f>'Pasture 12A'!C63</f>
        <v>32.833333333333336</v>
      </c>
      <c r="AL80" s="106">
        <f>'Pasture 12B'!C63</f>
        <v>12.5</v>
      </c>
      <c r="AM80" s="106">
        <f>'Pasture 12C'!C63</f>
        <v>113</v>
      </c>
      <c r="AN80" s="106"/>
      <c r="AO80" s="106"/>
      <c r="AP80" s="106">
        <f>'Pasture 15'!C59</f>
        <v>26.666666666666668</v>
      </c>
      <c r="AQ80" s="106">
        <f>'Pasture 140'!C47</f>
        <v>0</v>
      </c>
      <c r="AR80" s="112"/>
      <c r="AS80" s="107">
        <f t="shared" si="5"/>
        <v>1985</v>
      </c>
      <c r="AT80" s="106">
        <f t="shared" si="6"/>
        <v>641.99999999999989</v>
      </c>
      <c r="AU80" s="108">
        <f>'Percent Area'!AT79</f>
        <v>19521.398999999998</v>
      </c>
      <c r="AV80" s="109">
        <f t="shared" si="7"/>
        <v>3.2886987249223273E-2</v>
      </c>
      <c r="AW80" s="110">
        <f t="shared" si="8"/>
        <v>1.3309181403975424E-2</v>
      </c>
      <c r="AX80" s="111">
        <f t="shared" si="9"/>
        <v>1.3309181403975423</v>
      </c>
    </row>
    <row r="81" spans="1:50" x14ac:dyDescent="0.3">
      <c r="A81" s="105">
        <v>1986</v>
      </c>
      <c r="B81" s="106">
        <f>'Pasture 1'!C81</f>
        <v>45.333333333333336</v>
      </c>
      <c r="C81" s="106"/>
      <c r="D81" s="106">
        <f>'Pasture 2N'!C73</f>
        <v>53</v>
      </c>
      <c r="E81" s="106">
        <f>'Pasture 2SW'!C73</f>
        <v>35.333333333333336</v>
      </c>
      <c r="F81" s="106">
        <f>'UA Cell D'!C73</f>
        <v>18.333333333333332</v>
      </c>
      <c r="G81" s="106">
        <f>'UA Cell F'!C73</f>
        <v>10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>
        <f>'Pasture 3'!C67</f>
        <v>28</v>
      </c>
      <c r="R81" s="106">
        <f>'Pasture 4'!C73</f>
        <v>9.1666666666666661</v>
      </c>
      <c r="S81" s="106"/>
      <c r="T81" s="106">
        <f>'Pasture 5N'!C70</f>
        <v>52</v>
      </c>
      <c r="U81" s="106"/>
      <c r="V81" s="106">
        <f>'Pasture 5S'!C70</f>
        <v>18.75</v>
      </c>
      <c r="W81" s="106"/>
      <c r="X81" s="106">
        <f>'Pasture 6A'!C73</f>
        <v>14.166666666666666</v>
      </c>
      <c r="Y81" s="106">
        <f>'Pasture 6B'!C73</f>
        <v>14.166666666666666</v>
      </c>
      <c r="Z81" s="106">
        <f>'Pasture 6C'!C73</f>
        <v>5.75</v>
      </c>
      <c r="AA81" s="106">
        <f>'Pasture 6D'!C73</f>
        <v>60.666666666666664</v>
      </c>
      <c r="AB81" s="106"/>
      <c r="AC81" s="106">
        <f>'Pasture 8'!C74</f>
        <v>26</v>
      </c>
      <c r="AD81" s="106">
        <f>'Pasture 9'!C80</f>
        <v>20.5</v>
      </c>
      <c r="AE81" s="106">
        <f>'Pasture 10'!C80</f>
        <v>20.5</v>
      </c>
      <c r="AF81" s="106"/>
      <c r="AG81" s="106">
        <f>'Pasture 11A'!C67</f>
        <v>0</v>
      </c>
      <c r="AH81" s="106">
        <f>'Pasture 11B'!C67</f>
        <v>8</v>
      </c>
      <c r="AI81" s="106"/>
      <c r="AJ81" s="106"/>
      <c r="AK81" s="106">
        <f>'Pasture 12A'!C64</f>
        <v>8.3333333333333339</v>
      </c>
      <c r="AL81" s="106">
        <f>'Pasture 12B'!C64</f>
        <v>24.5</v>
      </c>
      <c r="AM81" s="106">
        <f>'Pasture 12C'!C64</f>
        <v>111.5</v>
      </c>
      <c r="AN81" s="106"/>
      <c r="AO81" s="106"/>
      <c r="AP81" s="106">
        <f>'Pasture 15'!C60</f>
        <v>30</v>
      </c>
      <c r="AQ81" s="106">
        <f>'Pasture 140'!C48</f>
        <v>0</v>
      </c>
      <c r="AR81" s="112"/>
      <c r="AS81" s="107">
        <f t="shared" si="5"/>
        <v>1986</v>
      </c>
      <c r="AT81" s="106">
        <f t="shared" si="6"/>
        <v>614</v>
      </c>
      <c r="AU81" s="108">
        <f>'Percent Area'!AT80</f>
        <v>19521.398999999998</v>
      </c>
      <c r="AV81" s="109">
        <f t="shared" si="7"/>
        <v>3.1452663817792978E-2</v>
      </c>
      <c r="AW81" s="110">
        <f t="shared" si="8"/>
        <v>1.2728718663615126E-2</v>
      </c>
      <c r="AX81" s="111">
        <f t="shared" si="9"/>
        <v>1.2728718663615126</v>
      </c>
    </row>
    <row r="82" spans="1:50" x14ac:dyDescent="0.3">
      <c r="A82" s="105">
        <v>1987</v>
      </c>
      <c r="B82" s="106">
        <f>'Pasture 1'!C82</f>
        <v>25.75</v>
      </c>
      <c r="C82" s="106"/>
      <c r="D82" s="106">
        <f>'Pasture 2N'!C74</f>
        <v>44.666666666666664</v>
      </c>
      <c r="E82" s="106">
        <f>'Pasture 2SW'!C74</f>
        <v>18.175000000000001</v>
      </c>
      <c r="F82" s="106">
        <f>'UA Cell D'!C74</f>
        <v>18.333333333333332</v>
      </c>
      <c r="G82" s="106">
        <f>'UA Cell F'!C74</f>
        <v>39.166666666666664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>
        <f>'Pasture 3'!C68</f>
        <v>24.75</v>
      </c>
      <c r="R82" s="106">
        <f>'Pasture 4'!C74</f>
        <v>9.1666666666666661</v>
      </c>
      <c r="S82" s="106"/>
      <c r="T82" s="106">
        <f>'Pasture 5N'!C71</f>
        <v>52.083333333333336</v>
      </c>
      <c r="U82" s="106"/>
      <c r="V82" s="106">
        <f>'Pasture 5S'!C71</f>
        <v>23.5</v>
      </c>
      <c r="W82" s="106"/>
      <c r="X82" s="106">
        <f>'Pasture 6A'!C74</f>
        <v>14.166666666666666</v>
      </c>
      <c r="Y82" s="106">
        <f>'Pasture 6B'!C74</f>
        <v>75.833333333333329</v>
      </c>
      <c r="Z82" s="106">
        <f>'Pasture 6C'!C74</f>
        <v>3.75</v>
      </c>
      <c r="AA82" s="106">
        <f>'Pasture 6D'!C74</f>
        <v>0</v>
      </c>
      <c r="AB82" s="106">
        <f>'Pasture 6E'!C74</f>
        <v>16.666666666666668</v>
      </c>
      <c r="AC82" s="106">
        <f>'Pasture 8'!C75</f>
        <v>26.25</v>
      </c>
      <c r="AD82" s="106">
        <f>'Pasture 9'!C81</f>
        <v>20.5</v>
      </c>
      <c r="AE82" s="106">
        <f>'Pasture 10'!C81</f>
        <v>20.5</v>
      </c>
      <c r="AF82" s="106"/>
      <c r="AG82" s="106">
        <f>'Pasture 11A'!C68</f>
        <v>0</v>
      </c>
      <c r="AH82" s="106">
        <f>'Pasture 11B'!C68</f>
        <v>6.666666666666667</v>
      </c>
      <c r="AI82" s="106"/>
      <c r="AJ82" s="106"/>
      <c r="AK82" s="106">
        <f>'Pasture 12A'!C65</f>
        <v>38.666666666666664</v>
      </c>
      <c r="AL82" s="106">
        <f>'Pasture 12B'!C65</f>
        <v>0</v>
      </c>
      <c r="AM82" s="106">
        <f>'Pasture 12C'!C65</f>
        <v>87.333333333333329</v>
      </c>
      <c r="AN82" s="106">
        <f>'Pasture 12D'!C65</f>
        <v>16.25</v>
      </c>
      <c r="AO82" s="106"/>
      <c r="AP82" s="106">
        <f>'Pasture 15'!C61</f>
        <v>25</v>
      </c>
      <c r="AQ82" s="106">
        <f>'Pasture 140'!C49</f>
        <v>0</v>
      </c>
      <c r="AR82" s="112"/>
      <c r="AS82" s="107">
        <f t="shared" si="5"/>
        <v>1987</v>
      </c>
      <c r="AT82" s="106">
        <f t="shared" si="6"/>
        <v>607.17500000000007</v>
      </c>
      <c r="AU82" s="108">
        <f>'Percent Area'!AT81</f>
        <v>19521.398999999998</v>
      </c>
      <c r="AV82" s="109">
        <f t="shared" si="7"/>
        <v>3.1103047481381849E-2</v>
      </c>
      <c r="AW82" s="110">
        <f t="shared" si="8"/>
        <v>1.2587230870652307E-2</v>
      </c>
      <c r="AX82" s="111">
        <f t="shared" si="9"/>
        <v>1.2587230870652306</v>
      </c>
    </row>
    <row r="83" spans="1:50" x14ac:dyDescent="0.3">
      <c r="A83" s="105">
        <v>1988</v>
      </c>
      <c r="B83" s="106">
        <f>'Pasture 1'!C83</f>
        <v>48.75</v>
      </c>
      <c r="C83" s="106"/>
      <c r="D83" s="106">
        <f>'Pasture 2N'!C75</f>
        <v>8.3333333333333339</v>
      </c>
      <c r="E83" s="106">
        <f>'Pasture 2SW'!C75</f>
        <v>18.175000000000001</v>
      </c>
      <c r="F83" s="106">
        <f>'UA Cell D'!C75</f>
        <v>0</v>
      </c>
      <c r="G83" s="106">
        <f>'UA Cell F'!C75</f>
        <v>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>
        <f>'Pasture 3'!C69</f>
        <v>24.75</v>
      </c>
      <c r="R83" s="106">
        <f>'Pasture 4'!C75</f>
        <v>0</v>
      </c>
      <c r="S83" s="106"/>
      <c r="T83" s="106">
        <f>'Pasture 5N'!C72</f>
        <v>43.75</v>
      </c>
      <c r="U83" s="106"/>
      <c r="V83" s="106">
        <f>'Pasture 5S'!C72</f>
        <v>23</v>
      </c>
      <c r="W83" s="106"/>
      <c r="X83" s="106">
        <f>'Pasture 6A'!C75</f>
        <v>53.083333333333336</v>
      </c>
      <c r="Y83" s="106">
        <f>'Pasture 6B'!C75</f>
        <v>29.333333333333332</v>
      </c>
      <c r="Z83" s="106">
        <f>'Pasture 6C'!C75</f>
        <v>3.75</v>
      </c>
      <c r="AA83" s="106">
        <f>'Pasture 6D'!C75</f>
        <v>0</v>
      </c>
      <c r="AB83" s="106">
        <f>'Pasture 6E'!C75</f>
        <v>3.3333333333333335</v>
      </c>
      <c r="AC83" s="106">
        <f>'Pasture 8'!C76</f>
        <v>26.25</v>
      </c>
      <c r="AD83" s="106">
        <f>'Pasture 9'!C82</f>
        <v>23.558333333333334</v>
      </c>
      <c r="AE83" s="106">
        <f>'Pasture 10'!C82</f>
        <v>17.25</v>
      </c>
      <c r="AF83" s="106"/>
      <c r="AG83" s="106">
        <f>'Pasture 11A'!C69</f>
        <v>0</v>
      </c>
      <c r="AH83" s="106">
        <f>'Pasture 11B'!C69</f>
        <v>1.3333333333333333</v>
      </c>
      <c r="AI83" s="106"/>
      <c r="AJ83" s="106"/>
      <c r="AK83" s="106">
        <f>'Pasture 12A'!C66</f>
        <v>8.3333333333333339</v>
      </c>
      <c r="AL83" s="106">
        <f>'Pasture 12B'!C66</f>
        <v>3.75</v>
      </c>
      <c r="AM83" s="106">
        <f>'Pasture 12C'!C66</f>
        <v>8.3333333333333339</v>
      </c>
      <c r="AN83" s="106">
        <f>'Pasture 12D'!C66</f>
        <v>5</v>
      </c>
      <c r="AO83" s="106"/>
      <c r="AP83" s="106">
        <f>'Pasture 15'!C62</f>
        <v>3.3333333333333335</v>
      </c>
      <c r="AQ83" s="106">
        <f>'Pasture 140'!C50</f>
        <v>5</v>
      </c>
      <c r="AR83" s="112"/>
      <c r="AS83" s="107">
        <f t="shared" si="5"/>
        <v>1988</v>
      </c>
      <c r="AT83" s="106">
        <f t="shared" si="6"/>
        <v>358.39999999999992</v>
      </c>
      <c r="AU83" s="108">
        <f>'Percent Area'!AT82</f>
        <v>19521.398999999998</v>
      </c>
      <c r="AV83" s="109">
        <f t="shared" si="7"/>
        <v>1.8359339922307819E-2</v>
      </c>
      <c r="AW83" s="110">
        <f t="shared" si="8"/>
        <v>7.4299230766118243E-3</v>
      </c>
      <c r="AX83" s="111">
        <f t="shared" si="9"/>
        <v>0.74299230766118241</v>
      </c>
    </row>
    <row r="84" spans="1:50" x14ac:dyDescent="0.3">
      <c r="A84" s="105">
        <v>1989</v>
      </c>
      <c r="B84" s="106">
        <f>'Pasture 1'!C84</f>
        <v>21</v>
      </c>
      <c r="C84" s="106"/>
      <c r="D84" s="106">
        <f>'Pasture 2N'!C76</f>
        <v>52.166666666666664</v>
      </c>
      <c r="E84" s="106">
        <f>'Pasture 2SW'!C76</f>
        <v>36.333333333333336</v>
      </c>
      <c r="F84" s="106">
        <f>'UA Cell D'!C76</f>
        <v>25</v>
      </c>
      <c r="G84" s="106">
        <f>'UA Cell F'!C76</f>
        <v>25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>
        <f>'Pasture 3'!C70</f>
        <v>24.75</v>
      </c>
      <c r="R84" s="106">
        <f>'Pasture 4'!C76</f>
        <v>8.3333333333333339</v>
      </c>
      <c r="S84" s="106"/>
      <c r="T84" s="106">
        <f>'Pasture 5N'!C73</f>
        <v>42.166666666666664</v>
      </c>
      <c r="U84" s="106"/>
      <c r="V84" s="106">
        <f>'Pasture 5S'!C73</f>
        <v>23.25</v>
      </c>
      <c r="W84" s="106"/>
      <c r="X84" s="106">
        <f>'Pasture 6A'!C76</f>
        <v>60.666666666666664</v>
      </c>
      <c r="Y84" s="106">
        <f>'Pasture 6B'!C76</f>
        <v>14.166666666666666</v>
      </c>
      <c r="Z84" s="106">
        <f>'Pasture 6C'!C76</f>
        <v>7.5</v>
      </c>
      <c r="AA84" s="106">
        <f>'Pasture 6D'!C76</f>
        <v>12.5</v>
      </c>
      <c r="AB84" s="106">
        <f>'Pasture 6E'!C76</f>
        <v>17.666666666666668</v>
      </c>
      <c r="AC84" s="106">
        <f>'Pasture 8'!C77</f>
        <v>26</v>
      </c>
      <c r="AD84" s="106">
        <f>'Pasture 9'!C83</f>
        <v>29.133333333333336</v>
      </c>
      <c r="AE84" s="106">
        <f>'Pasture 10'!C83</f>
        <v>23</v>
      </c>
      <c r="AF84" s="106"/>
      <c r="AG84" s="106">
        <f>'Pasture 11A'!C70</f>
        <v>0</v>
      </c>
      <c r="AH84" s="106">
        <f>'Pasture 11B'!C70</f>
        <v>7.833333333333333</v>
      </c>
      <c r="AI84" s="106"/>
      <c r="AJ84" s="106"/>
      <c r="AK84" s="106">
        <f>'Pasture 12A'!C67</f>
        <v>8.3333333333333339</v>
      </c>
      <c r="AL84" s="106">
        <f>'Pasture 12B'!C67</f>
        <v>27.5</v>
      </c>
      <c r="AM84" s="106">
        <f>'Pasture 12C'!C67</f>
        <v>53.833333333333336</v>
      </c>
      <c r="AN84" s="106">
        <f>'Pasture 12D'!C67</f>
        <v>8.5</v>
      </c>
      <c r="AO84" s="106"/>
      <c r="AP84" s="106">
        <f>'Pasture 15'!C63</f>
        <v>22</v>
      </c>
      <c r="AQ84" s="106">
        <f>'Pasture 140'!C51</f>
        <v>5</v>
      </c>
      <c r="AR84" s="112"/>
      <c r="AS84" s="107">
        <f t="shared" si="5"/>
        <v>1989</v>
      </c>
      <c r="AT84" s="106">
        <f t="shared" si="6"/>
        <v>581.63333333333333</v>
      </c>
      <c r="AU84" s="108">
        <f>'Percent Area'!AT83</f>
        <v>19521.398999999998</v>
      </c>
      <c r="AV84" s="109">
        <f t="shared" si="7"/>
        <v>2.9794654232175338E-2</v>
      </c>
      <c r="AW84" s="110">
        <f t="shared" si="8"/>
        <v>1.2057731376841496E-2</v>
      </c>
      <c r="AX84" s="111">
        <f t="shared" si="9"/>
        <v>1.2057731376841496</v>
      </c>
    </row>
    <row r="85" spans="1:50" x14ac:dyDescent="0.3">
      <c r="A85" s="105">
        <v>1990</v>
      </c>
      <c r="B85" s="106">
        <f>'Pasture 1'!C85</f>
        <v>21</v>
      </c>
      <c r="C85" s="106"/>
      <c r="D85" s="106">
        <f>'Pasture 2N'!C77</f>
        <v>48.833333333333336</v>
      </c>
      <c r="E85" s="106">
        <f>'Pasture 2SW'!C77</f>
        <v>8.3333333333333339</v>
      </c>
      <c r="F85" s="106"/>
      <c r="G85" s="106"/>
      <c r="H85" s="106">
        <f>'UA Cell A'!C77</f>
        <v>155.16666666666666</v>
      </c>
      <c r="I85" s="106"/>
      <c r="J85" s="106"/>
      <c r="K85" s="106"/>
      <c r="L85" s="106"/>
      <c r="M85" s="106"/>
      <c r="N85" s="106"/>
      <c r="O85" s="106"/>
      <c r="P85" s="106"/>
      <c r="Q85" s="106">
        <f>'Pasture 3'!C71</f>
        <v>24.75</v>
      </c>
      <c r="R85" s="106">
        <f>'Pasture 4'!C77</f>
        <v>8.3333333333333339</v>
      </c>
      <c r="S85" s="106"/>
      <c r="T85" s="106">
        <f>'Pasture 5N'!C74</f>
        <v>45.5</v>
      </c>
      <c r="U85" s="106"/>
      <c r="V85" s="106">
        <f>'Pasture 5S'!C74</f>
        <v>15.75</v>
      </c>
      <c r="W85" s="106"/>
      <c r="X85" s="106">
        <f>'Pasture 6A'!C77</f>
        <v>14.166666666666666</v>
      </c>
      <c r="Y85" s="106">
        <f>'Pasture 6B'!C77</f>
        <v>54</v>
      </c>
      <c r="Z85" s="106">
        <f>'Pasture 6C'!C77</f>
        <v>7</v>
      </c>
      <c r="AA85" s="106">
        <f>'Pasture 6D'!C77</f>
        <v>12.5</v>
      </c>
      <c r="AB85" s="106">
        <f>'Pasture 6E'!C77</f>
        <v>0</v>
      </c>
      <c r="AC85" s="106">
        <f>'Pasture 8'!C78</f>
        <v>26</v>
      </c>
      <c r="AD85" s="106">
        <f>'Pasture 9'!C84</f>
        <v>19</v>
      </c>
      <c r="AE85" s="106">
        <f>'Pasture 10'!C84</f>
        <v>0</v>
      </c>
      <c r="AF85" s="106"/>
      <c r="AG85" s="106">
        <f>'Pasture 11A'!C71</f>
        <v>0</v>
      </c>
      <c r="AH85" s="106">
        <f>'Pasture 11B'!C71</f>
        <v>7.5</v>
      </c>
      <c r="AI85" s="106"/>
      <c r="AJ85" s="106"/>
      <c r="AK85" s="106">
        <f>'Pasture 12A'!C68</f>
        <v>36.333333333333336</v>
      </c>
      <c r="AL85" s="106">
        <f>'Pasture 12B'!C68</f>
        <v>7.5</v>
      </c>
      <c r="AM85" s="106">
        <f>'Pasture 12C'!C68</f>
        <v>58</v>
      </c>
      <c r="AN85" s="106">
        <f>'Pasture 12D'!C68</f>
        <v>7</v>
      </c>
      <c r="AO85" s="106"/>
      <c r="AP85" s="106">
        <f>'Pasture 15'!C64</f>
        <v>22.833333333333332</v>
      </c>
      <c r="AQ85" s="106">
        <f>'Pasture 140'!C52</f>
        <v>0</v>
      </c>
      <c r="AR85" s="112"/>
      <c r="AS85" s="107">
        <f t="shared" si="5"/>
        <v>1990</v>
      </c>
      <c r="AT85" s="106">
        <f t="shared" si="6"/>
        <v>599.5</v>
      </c>
      <c r="AU85" s="108">
        <f>'Percent Area'!AT84</f>
        <v>19521.388999999996</v>
      </c>
      <c r="AV85" s="109">
        <f t="shared" si="7"/>
        <v>3.0709904915065221E-2</v>
      </c>
      <c r="AW85" s="110">
        <f t="shared" si="8"/>
        <v>1.2428128253769818E-2</v>
      </c>
      <c r="AX85" s="111">
        <f t="shared" si="9"/>
        <v>1.2428128253769817</v>
      </c>
    </row>
    <row r="86" spans="1:50" x14ac:dyDescent="0.3">
      <c r="A86" s="105">
        <v>1991</v>
      </c>
      <c r="B86" s="106">
        <f>'Pasture 1'!C86</f>
        <v>21</v>
      </c>
      <c r="C86" s="106"/>
      <c r="D86" s="106">
        <f>'Pasture 2N'!C78</f>
        <v>54</v>
      </c>
      <c r="E86" s="106">
        <f>'Pasture 2SW'!C78</f>
        <v>8.3333333333333339</v>
      </c>
      <c r="F86" s="106"/>
      <c r="G86" s="106"/>
      <c r="H86" s="106">
        <f>'UA Cell A'!C78</f>
        <v>150.16666666666666</v>
      </c>
      <c r="I86" s="106"/>
      <c r="J86" s="106"/>
      <c r="K86" s="106"/>
      <c r="L86" s="106"/>
      <c r="M86" s="106"/>
      <c r="N86" s="106"/>
      <c r="O86" s="106"/>
      <c r="P86" s="106"/>
      <c r="Q86" s="106">
        <f>'Pasture 3'!C72</f>
        <v>14.166666666666666</v>
      </c>
      <c r="R86" s="106">
        <f>'Pasture 4'!C78</f>
        <v>36.333333333333336</v>
      </c>
      <c r="S86" s="106"/>
      <c r="T86" s="106">
        <f>'Pasture 5N'!C75</f>
        <v>13.333333333333334</v>
      </c>
      <c r="U86" s="106"/>
      <c r="V86" s="106">
        <f>'Pasture 5S'!C75</f>
        <v>57.333333333333336</v>
      </c>
      <c r="W86" s="106"/>
      <c r="X86" s="106">
        <f>'Pasture 6A'!C78</f>
        <v>14.166666666666666</v>
      </c>
      <c r="Y86" s="106">
        <f>'Pasture 6B'!C78</f>
        <v>13.333333333333334</v>
      </c>
      <c r="Z86" s="106">
        <f>'Pasture 6C'!C78</f>
        <v>5.5</v>
      </c>
      <c r="AA86" s="106">
        <f>'Pasture 6D'!C78</f>
        <v>61.666666666666664</v>
      </c>
      <c r="AB86" s="106">
        <f>'Pasture 6E'!C78</f>
        <v>20.833333333333332</v>
      </c>
      <c r="AC86" s="106">
        <f>'Pasture 8'!C79</f>
        <v>26</v>
      </c>
      <c r="AD86" s="106">
        <f>'Pasture 9'!C85</f>
        <v>0</v>
      </c>
      <c r="AE86" s="106">
        <f>'Pasture 10'!C85</f>
        <v>19</v>
      </c>
      <c r="AF86" s="106"/>
      <c r="AG86" s="106">
        <f>'Pasture 11A'!C72</f>
        <v>0</v>
      </c>
      <c r="AH86" s="106">
        <f>'Pasture 11B'!C72</f>
        <v>10</v>
      </c>
      <c r="AI86" s="106"/>
      <c r="AJ86" s="106"/>
      <c r="AK86" s="106">
        <f>'Pasture 12A'!C69</f>
        <v>8.3333333333333339</v>
      </c>
      <c r="AL86" s="106">
        <f>'Pasture 12B'!C69</f>
        <v>10</v>
      </c>
      <c r="AM86" s="106">
        <f>'Pasture 12C'!C69</f>
        <v>56.166666666666664</v>
      </c>
      <c r="AN86" s="106">
        <f>'Pasture 12D'!C69</f>
        <v>6.25</v>
      </c>
      <c r="AO86" s="106"/>
      <c r="AP86" s="106">
        <f>'Pasture 15'!C65</f>
        <v>25.333333333333332</v>
      </c>
      <c r="AQ86" s="106">
        <f>'Pasture 140'!C53</f>
        <v>0</v>
      </c>
      <c r="AR86" s="112"/>
      <c r="AS86" s="107">
        <f t="shared" si="5"/>
        <v>1991</v>
      </c>
      <c r="AT86" s="106">
        <f t="shared" si="6"/>
        <v>631.25</v>
      </c>
      <c r="AU86" s="108">
        <f>'Percent Area'!AT85</f>
        <v>19521.388999999996</v>
      </c>
      <c r="AV86" s="109">
        <f t="shared" si="7"/>
        <v>3.2336326067781355E-2</v>
      </c>
      <c r="AW86" s="110">
        <f t="shared" si="8"/>
        <v>1.3086331876884402E-2</v>
      </c>
      <c r="AX86" s="111">
        <f t="shared" si="9"/>
        <v>1.3086331876884401</v>
      </c>
    </row>
    <row r="87" spans="1:50" x14ac:dyDescent="0.3">
      <c r="A87" s="105">
        <v>1992</v>
      </c>
      <c r="B87" s="106">
        <f>'Pasture 1'!C87</f>
        <v>21.833333333333332</v>
      </c>
      <c r="C87" s="106"/>
      <c r="D87" s="106">
        <f>'Pasture 2N'!C79</f>
        <v>54</v>
      </c>
      <c r="E87" s="106">
        <f>'Pasture 2SW'!C79</f>
        <v>36.333333333333336</v>
      </c>
      <c r="F87" s="106"/>
      <c r="G87" s="106"/>
      <c r="H87" s="106">
        <f>'UA Cell A'!C79</f>
        <v>141.83333333333334</v>
      </c>
      <c r="I87" s="106"/>
      <c r="J87" s="106"/>
      <c r="K87" s="106"/>
      <c r="L87" s="106"/>
      <c r="M87" s="106"/>
      <c r="N87" s="106"/>
      <c r="O87" s="106"/>
      <c r="P87" s="106"/>
      <c r="Q87" s="106">
        <f>'Pasture 3'!C73</f>
        <v>14.166666666666666</v>
      </c>
      <c r="R87" s="106">
        <f>'Pasture 4'!C79</f>
        <v>8.3333333333333339</v>
      </c>
      <c r="S87" s="106"/>
      <c r="T87" s="106">
        <f>'Pasture 5N'!C76</f>
        <v>74.833333333333329</v>
      </c>
      <c r="U87" s="106"/>
      <c r="V87" s="106">
        <f>'Pasture 5S'!C76</f>
        <v>0</v>
      </c>
      <c r="W87" s="106"/>
      <c r="X87" s="106">
        <f>'Pasture 6A'!C79</f>
        <v>58.333333333333336</v>
      </c>
      <c r="Y87" s="106">
        <f>'Pasture 6B'!C79</f>
        <v>13.333333333333334</v>
      </c>
      <c r="Z87" s="106">
        <f>'Pasture 6C'!C79</f>
        <v>6.5</v>
      </c>
      <c r="AA87" s="106">
        <f>'Pasture 6D'!C79</f>
        <v>14.166666666666666</v>
      </c>
      <c r="AB87" s="106">
        <f>'Pasture 6E'!C79</f>
        <v>27.5</v>
      </c>
      <c r="AC87" s="106">
        <f>'Pasture 8'!C80</f>
        <v>26</v>
      </c>
      <c r="AD87" s="106">
        <f>'Pasture 9'!C86</f>
        <v>30.716666666666669</v>
      </c>
      <c r="AE87" s="106">
        <f>'Pasture 10'!C86</f>
        <v>23</v>
      </c>
      <c r="AF87" s="106"/>
      <c r="AG87" s="106">
        <f>'Pasture 11A'!C73</f>
        <v>0</v>
      </c>
      <c r="AH87" s="106">
        <f>'Pasture 11B'!C73</f>
        <v>10.833333333333334</v>
      </c>
      <c r="AI87" s="106"/>
      <c r="AJ87" s="106"/>
      <c r="AK87" s="106">
        <f>'Pasture 12A'!C70</f>
        <v>8.3333333333333339</v>
      </c>
      <c r="AL87" s="106">
        <f>'Pasture 12B'!C70</f>
        <v>11.5</v>
      </c>
      <c r="AM87" s="106">
        <f>'Pasture 12C'!C70</f>
        <v>52</v>
      </c>
      <c r="AN87" s="106">
        <f>'Pasture 12D'!C70</f>
        <v>19.25</v>
      </c>
      <c r="AO87" s="106"/>
      <c r="AP87" s="106">
        <f>'Pasture 15'!C66</f>
        <v>16.666666666666668</v>
      </c>
      <c r="AQ87" s="106">
        <f>'Pasture 140'!C54</f>
        <v>0</v>
      </c>
      <c r="AR87" s="112"/>
      <c r="AS87" s="107">
        <f t="shared" si="5"/>
        <v>1992</v>
      </c>
      <c r="AT87" s="106">
        <f t="shared" si="6"/>
        <v>669.4666666666667</v>
      </c>
      <c r="AU87" s="108">
        <f>'Percent Area'!AT86</f>
        <v>19521.388999999996</v>
      </c>
      <c r="AV87" s="109">
        <f t="shared" si="7"/>
        <v>3.4294007801733105E-2</v>
      </c>
      <c r="AW87" s="110">
        <f t="shared" si="8"/>
        <v>1.3878594820612345E-2</v>
      </c>
      <c r="AX87" s="111">
        <f t="shared" si="9"/>
        <v>1.3878594820612344</v>
      </c>
    </row>
    <row r="88" spans="1:50" x14ac:dyDescent="0.3">
      <c r="A88" s="105">
        <v>1993</v>
      </c>
      <c r="B88" s="106">
        <f>'Pasture 1'!C88</f>
        <v>26</v>
      </c>
      <c r="C88" s="106"/>
      <c r="D88" s="106">
        <f>'Pasture 2N'!C80</f>
        <v>54.833333333333336</v>
      </c>
      <c r="E88" s="106">
        <f>'Pasture 2SW'!C80</f>
        <v>8.3333333333333339</v>
      </c>
      <c r="F88" s="106"/>
      <c r="G88" s="106"/>
      <c r="H88" s="106">
        <f>'UA Cell A'!C80</f>
        <v>122.16666666666667</v>
      </c>
      <c r="I88" s="106"/>
      <c r="J88" s="106"/>
      <c r="K88" s="106"/>
      <c r="L88" s="106"/>
      <c r="M88" s="106"/>
      <c r="N88" s="106"/>
      <c r="O88" s="106"/>
      <c r="P88" s="106"/>
      <c r="Q88" s="106">
        <f>'Pasture 3'!C74</f>
        <v>62.666666666666664</v>
      </c>
      <c r="R88" s="106">
        <f>'Pasture 4'!C80</f>
        <v>8.3333333333333339</v>
      </c>
      <c r="S88" s="106"/>
      <c r="T88" s="106">
        <f>'Pasture 5N'!C77</f>
        <v>28.333333333333332</v>
      </c>
      <c r="U88" s="106"/>
      <c r="V88" s="106">
        <f>'Pasture 5S'!C77</f>
        <v>0</v>
      </c>
      <c r="W88" s="106"/>
      <c r="X88" s="106">
        <f>'Pasture 6A'!C80</f>
        <v>14.166666666666666</v>
      </c>
      <c r="Y88" s="106">
        <f>'Pasture 6B'!C80</f>
        <v>62.666666666666664</v>
      </c>
      <c r="Z88" s="106">
        <f>'Pasture 6C'!C80</f>
        <v>8.25</v>
      </c>
      <c r="AA88" s="106">
        <f>'Pasture 6D'!C80</f>
        <v>14.166666666666666</v>
      </c>
      <c r="AB88" s="106">
        <f>'Pasture 6E'!C80</f>
        <v>26.875</v>
      </c>
      <c r="AC88" s="106">
        <f>'Pasture 8'!C81</f>
        <v>26</v>
      </c>
      <c r="AD88" s="106">
        <f>'Pasture 9'!C87</f>
        <v>28.75</v>
      </c>
      <c r="AE88" s="106">
        <f>'Pasture 10'!C87</f>
        <v>23</v>
      </c>
      <c r="AF88" s="106"/>
      <c r="AG88" s="106">
        <f>'Pasture 11A'!C74</f>
        <v>0</v>
      </c>
      <c r="AH88" s="106">
        <f>'Pasture 11B'!C74</f>
        <v>15.166666666666666</v>
      </c>
      <c r="AI88" s="106"/>
      <c r="AJ88" s="106"/>
      <c r="AK88" s="106">
        <f>'Pasture 12A'!C71</f>
        <v>36.333333333333336</v>
      </c>
      <c r="AL88" s="106">
        <f>'Pasture 12B'!C71</f>
        <v>12.5</v>
      </c>
      <c r="AM88" s="106">
        <f>'Pasture 12C'!C71</f>
        <v>54.666666666666664</v>
      </c>
      <c r="AN88" s="106">
        <f>'Pasture 12D'!C71</f>
        <v>27.5</v>
      </c>
      <c r="AO88" s="106"/>
      <c r="AP88" s="106">
        <f>'Pasture 15'!C67</f>
        <v>27</v>
      </c>
      <c r="AQ88" s="106">
        <f>'Pasture 140'!C55</f>
        <v>0</v>
      </c>
      <c r="AR88" s="112"/>
      <c r="AS88" s="107">
        <f t="shared" si="5"/>
        <v>1993</v>
      </c>
      <c r="AT88" s="106">
        <f t="shared" si="6"/>
        <v>687.70833333333337</v>
      </c>
      <c r="AU88" s="108">
        <f>'Percent Area'!AT87</f>
        <v>19521.388999999996</v>
      </c>
      <c r="AV88" s="109">
        <f t="shared" si="7"/>
        <v>3.5228452920708336E-2</v>
      </c>
      <c r="AW88" s="110">
        <f t="shared" si="8"/>
        <v>1.4256759579404425E-2</v>
      </c>
      <c r="AX88" s="111">
        <f t="shared" si="9"/>
        <v>1.4256759579404426</v>
      </c>
    </row>
    <row r="89" spans="1:50" x14ac:dyDescent="0.3">
      <c r="A89" s="105">
        <v>1994</v>
      </c>
      <c r="B89" s="106">
        <f>'Pasture 1'!C89</f>
        <v>26</v>
      </c>
      <c r="C89" s="106"/>
      <c r="D89" s="106">
        <f>'Pasture 2N'!C81</f>
        <v>59.833333333333336</v>
      </c>
      <c r="E89" s="106">
        <f>'Pasture 2SW'!C81</f>
        <v>8.3333333333333339</v>
      </c>
      <c r="F89" s="106"/>
      <c r="G89" s="106"/>
      <c r="H89" s="106">
        <f>'UA Cell A'!C81</f>
        <v>116.16666666666667</v>
      </c>
      <c r="I89" s="106"/>
      <c r="J89" s="106"/>
      <c r="K89" s="106"/>
      <c r="L89" s="106"/>
      <c r="M89" s="106"/>
      <c r="N89" s="106"/>
      <c r="O89" s="106"/>
      <c r="P89" s="106"/>
      <c r="Q89" s="106">
        <f>'Pasture 3'!C75</f>
        <v>75.833333333333329</v>
      </c>
      <c r="R89" s="106">
        <f>'Pasture 4'!C81</f>
        <v>36.333333333333336</v>
      </c>
      <c r="S89" s="106"/>
      <c r="T89" s="106">
        <f>'Pasture 5N'!C78</f>
        <v>14.166666666666666</v>
      </c>
      <c r="U89" s="106"/>
      <c r="V89" s="106">
        <f>'Pasture 5S'!C78</f>
        <v>0</v>
      </c>
      <c r="W89" s="106"/>
      <c r="X89" s="106">
        <f>'Pasture 6A'!C81</f>
        <v>14.166666666666666</v>
      </c>
      <c r="Y89" s="106">
        <f>'Pasture 6B'!C81</f>
        <v>14.166666666666666</v>
      </c>
      <c r="Z89" s="106">
        <f>'Pasture 6C'!C81</f>
        <v>8</v>
      </c>
      <c r="AA89" s="106">
        <f>'Pasture 6D'!C81</f>
        <v>61.666666666666664</v>
      </c>
      <c r="AB89" s="106">
        <f>'Pasture 6E'!C81</f>
        <v>26.875</v>
      </c>
      <c r="AC89" s="106">
        <f>'Pasture 8'!C82</f>
        <v>26</v>
      </c>
      <c r="AD89" s="106">
        <f>'Pasture 9'!C88</f>
        <v>23</v>
      </c>
      <c r="AE89" s="106">
        <f>'Pasture 10'!C88</f>
        <v>0</v>
      </c>
      <c r="AF89" s="106"/>
      <c r="AG89" s="106">
        <f>'Pasture 11A'!C75</f>
        <v>0</v>
      </c>
      <c r="AH89" s="106">
        <f>'Pasture 11B'!C75</f>
        <v>10.25</v>
      </c>
      <c r="AI89" s="106"/>
      <c r="AJ89" s="106"/>
      <c r="AK89" s="106">
        <f>'Pasture 12A'!C72</f>
        <v>8.3333333333333339</v>
      </c>
      <c r="AL89" s="106">
        <f>'Pasture 12B'!C72</f>
        <v>26.75</v>
      </c>
      <c r="AM89" s="106">
        <f>'Pasture 12C'!C72</f>
        <v>63.833333333333336</v>
      </c>
      <c r="AN89" s="106">
        <f>'Pasture 12D'!C72</f>
        <v>0</v>
      </c>
      <c r="AO89" s="106"/>
      <c r="AP89" s="106">
        <f>'Pasture 15'!C68</f>
        <v>22.833333333333332</v>
      </c>
      <c r="AQ89" s="106">
        <f>'Pasture 140'!C56</f>
        <v>0</v>
      </c>
      <c r="AR89" s="112"/>
      <c r="AS89" s="107">
        <f t="shared" si="5"/>
        <v>1994</v>
      </c>
      <c r="AT89" s="106">
        <f t="shared" si="6"/>
        <v>642.54166666666686</v>
      </c>
      <c r="AU89" s="108">
        <f>'Percent Area'!AT88</f>
        <v>19521.388999999996</v>
      </c>
      <c r="AV89" s="109">
        <f t="shared" si="7"/>
        <v>3.2914751438366759E-2</v>
      </c>
      <c r="AW89" s="110">
        <f t="shared" si="8"/>
        <v>1.3320417417388408E-2</v>
      </c>
      <c r="AX89" s="111">
        <f t="shared" si="9"/>
        <v>1.3320417417388408</v>
      </c>
    </row>
    <row r="90" spans="1:50" x14ac:dyDescent="0.3">
      <c r="A90" s="105">
        <v>1995</v>
      </c>
      <c r="B90" s="106">
        <f>'Pasture 1'!C90</f>
        <v>22.833333333333332</v>
      </c>
      <c r="C90" s="106"/>
      <c r="D90" s="106">
        <f>'Pasture 2N'!C82</f>
        <v>64</v>
      </c>
      <c r="E90" s="106">
        <f>'Pasture 2SW'!C82</f>
        <v>36.333333333333336</v>
      </c>
      <c r="F90" s="106"/>
      <c r="G90" s="106"/>
      <c r="H90" s="106">
        <f>'UA Cell A'!C82</f>
        <v>111.16666666666667</v>
      </c>
      <c r="I90" s="106"/>
      <c r="J90" s="106"/>
      <c r="K90" s="106"/>
      <c r="L90" s="106"/>
      <c r="M90" s="106"/>
      <c r="N90" s="106"/>
      <c r="O90" s="106"/>
      <c r="P90" s="106"/>
      <c r="Q90" s="106">
        <f>'Pasture 3'!C76</f>
        <v>14.166666666666666</v>
      </c>
      <c r="R90" s="106">
        <f>'Pasture 4'!C82</f>
        <v>8.3333333333333339</v>
      </c>
      <c r="S90" s="106"/>
      <c r="T90" s="106">
        <f>'Pasture 5N'!C79</f>
        <v>62.666666666666664</v>
      </c>
      <c r="U90" s="106"/>
      <c r="V90" s="106">
        <f>'Pasture 5S'!C79</f>
        <v>14.166666666666666</v>
      </c>
      <c r="W90" s="106"/>
      <c r="X90" s="106">
        <f>'Pasture 6A'!C82</f>
        <v>62.666666666666664</v>
      </c>
      <c r="Y90" s="106">
        <f>'Pasture 6B'!C82</f>
        <v>14.166666666666666</v>
      </c>
      <c r="Z90" s="106">
        <f>'Pasture 6C'!C82</f>
        <v>4</v>
      </c>
      <c r="AA90" s="106">
        <f>'Pasture 6D'!C82</f>
        <v>14.166666666666666</v>
      </c>
      <c r="AB90" s="106">
        <f>'Pasture 6E'!C82</f>
        <v>26.875</v>
      </c>
      <c r="AC90" s="106">
        <f>'Pasture 8'!C83</f>
        <v>26</v>
      </c>
      <c r="AD90" s="106">
        <f>'Pasture 9'!C89</f>
        <v>0</v>
      </c>
      <c r="AE90" s="106">
        <f>'Pasture 10'!C89</f>
        <v>24.258333333333336</v>
      </c>
      <c r="AF90" s="106"/>
      <c r="AG90" s="106">
        <f>'Pasture 11A'!C76</f>
        <v>0</v>
      </c>
      <c r="AH90" s="106">
        <f>'Pasture 11B'!C76</f>
        <v>9.5833333333333339</v>
      </c>
      <c r="AI90" s="106"/>
      <c r="AJ90" s="106"/>
      <c r="AK90" s="106">
        <f>'Pasture 12A'!C73</f>
        <v>8.3333333333333339</v>
      </c>
      <c r="AL90" s="106">
        <f>'Pasture 12B'!C73</f>
        <v>32.25</v>
      </c>
      <c r="AM90" s="106">
        <f>'Pasture 12C'!C73</f>
        <v>67.166666666666671</v>
      </c>
      <c r="AN90" s="106">
        <f>'Pasture 12D'!C73</f>
        <v>0</v>
      </c>
      <c r="AO90" s="106"/>
      <c r="AP90" s="106">
        <f>'Pasture 15'!C69</f>
        <v>4.166666666666667</v>
      </c>
      <c r="AQ90" s="106">
        <f>'Pasture 140'!C57</f>
        <v>0</v>
      </c>
      <c r="AR90" s="112"/>
      <c r="AS90" s="107">
        <f t="shared" si="5"/>
        <v>1995</v>
      </c>
      <c r="AT90" s="106">
        <f t="shared" si="6"/>
        <v>627.30000000000007</v>
      </c>
      <c r="AU90" s="108">
        <f>'Percent Area'!AT89</f>
        <v>19521.388999999996</v>
      </c>
      <c r="AV90" s="109">
        <f t="shared" si="7"/>
        <v>3.2133983908624549E-2</v>
      </c>
      <c r="AW90" s="110">
        <f t="shared" si="8"/>
        <v>1.3004445126922115E-2</v>
      </c>
      <c r="AX90" s="111">
        <f t="shared" si="9"/>
        <v>1.3004445126922115</v>
      </c>
    </row>
    <row r="91" spans="1:50" x14ac:dyDescent="0.3">
      <c r="A91" s="105">
        <v>1996</v>
      </c>
      <c r="B91" s="106">
        <f>'Pasture 1'!C91</f>
        <v>4.416666666666667</v>
      </c>
      <c r="C91" s="106"/>
      <c r="D91" s="106">
        <f>'Pasture 2N'!C83</f>
        <v>64.166666666666671</v>
      </c>
      <c r="E91" s="106">
        <f>'Pasture 2SW'!C83</f>
        <v>9.0833333333333339</v>
      </c>
      <c r="F91" s="106"/>
      <c r="G91" s="106"/>
      <c r="H91" s="106">
        <f>'UA Cell A'!C83</f>
        <v>108.75</v>
      </c>
      <c r="I91" s="106"/>
      <c r="J91" s="106"/>
      <c r="K91" s="106"/>
      <c r="L91" s="106"/>
      <c r="M91" s="106"/>
      <c r="N91" s="106"/>
      <c r="O91" s="106"/>
      <c r="P91" s="106"/>
      <c r="Q91" s="106">
        <f>'Pasture 3'!C77</f>
        <v>61.666666666666664</v>
      </c>
      <c r="R91" s="106">
        <f>'Pasture 4'!C83</f>
        <v>8.3333333333333339</v>
      </c>
      <c r="S91" s="106"/>
      <c r="T91" s="106">
        <f>'Pasture 5N'!C80</f>
        <v>15.666666666666666</v>
      </c>
      <c r="U91" s="106"/>
      <c r="V91" s="106">
        <f>'Pasture 5S'!C80</f>
        <v>14.166666666666666</v>
      </c>
      <c r="W91" s="106"/>
      <c r="X91" s="106">
        <f>'Pasture 6A'!C83</f>
        <v>15.666666666666666</v>
      </c>
      <c r="Y91" s="106">
        <f>'Pasture 6B'!C83</f>
        <v>61.666666666666664</v>
      </c>
      <c r="Z91" s="106">
        <f>'Pasture 6C'!C83</f>
        <v>0</v>
      </c>
      <c r="AA91" s="106">
        <f>'Pasture 6D'!C83</f>
        <v>14.166666666666666</v>
      </c>
      <c r="AB91" s="106">
        <f>'Pasture 6E'!C83</f>
        <v>24.791666666666668</v>
      </c>
      <c r="AC91" s="106">
        <f>'Pasture 8'!C84</f>
        <v>26.25</v>
      </c>
      <c r="AD91" s="106">
        <f>'Pasture 9'!C90</f>
        <v>30.316666666666666</v>
      </c>
      <c r="AE91" s="106">
        <f>'Pasture 10'!C90</f>
        <v>23</v>
      </c>
      <c r="AF91" s="106"/>
      <c r="AG91" s="106">
        <f>'Pasture 11A'!C77</f>
        <v>0</v>
      </c>
      <c r="AH91" s="106">
        <f>'Pasture 11B'!C77</f>
        <v>1.6666666666666667</v>
      </c>
      <c r="AI91" s="106">
        <f>'Pasture 11C'!C77</f>
        <v>0</v>
      </c>
      <c r="AJ91" s="106"/>
      <c r="AK91" s="106">
        <f>'Pasture 12A'!C74</f>
        <v>36.333333333333336</v>
      </c>
      <c r="AL91" s="106">
        <f>'Pasture 12B'!C74</f>
        <v>24.75</v>
      </c>
      <c r="AM91" s="106">
        <f>'Pasture 12C'!C74</f>
        <v>65.583333333333329</v>
      </c>
      <c r="AN91" s="106">
        <f>'Pasture 12D'!C74</f>
        <v>4</v>
      </c>
      <c r="AO91" s="106"/>
      <c r="AP91" s="106">
        <f>'Pasture 15'!C70</f>
        <v>26.416666666666668</v>
      </c>
      <c r="AQ91" s="106">
        <f>'Pasture 140'!C58</f>
        <v>0</v>
      </c>
      <c r="AR91" s="112"/>
      <c r="AS91" s="107">
        <f t="shared" si="5"/>
        <v>1996</v>
      </c>
      <c r="AT91" s="106">
        <f t="shared" si="6"/>
        <v>640.85833333333346</v>
      </c>
      <c r="AU91" s="108">
        <f>'Percent Area'!AT90</f>
        <v>19521.398999999998</v>
      </c>
      <c r="AV91" s="109">
        <f t="shared" si="7"/>
        <v>3.2828504418834607E-2</v>
      </c>
      <c r="AW91" s="110">
        <f t="shared" si="8"/>
        <v>1.3285513726764309E-2</v>
      </c>
      <c r="AX91" s="111">
        <f t="shared" si="9"/>
        <v>1.3285513726764309</v>
      </c>
    </row>
    <row r="92" spans="1:50" x14ac:dyDescent="0.3">
      <c r="A92" s="105">
        <v>1997</v>
      </c>
      <c r="B92" s="106">
        <f>'Pasture 1'!C92</f>
        <v>26.5</v>
      </c>
      <c r="C92" s="106"/>
      <c r="D92" s="106">
        <f>'Pasture 2N'!C84</f>
        <v>60.166666666666664</v>
      </c>
      <c r="E92" s="106">
        <f>'Pasture 2SW'!C84</f>
        <v>9.0833333333333339</v>
      </c>
      <c r="F92" s="106"/>
      <c r="G92" s="106"/>
      <c r="H92" s="106">
        <f>'UA Cell A'!C84</f>
        <v>108.58333333333333</v>
      </c>
      <c r="I92" s="106"/>
      <c r="J92" s="106"/>
      <c r="K92" s="106"/>
      <c r="L92" s="106"/>
      <c r="M92" s="106"/>
      <c r="N92" s="106"/>
      <c r="O92" s="106"/>
      <c r="P92" s="106"/>
      <c r="Q92" s="106">
        <f>'Pasture 3'!C78</f>
        <v>15.666666666666666</v>
      </c>
      <c r="R92" s="106">
        <f>'Pasture 4'!C84</f>
        <v>36.333333333333336</v>
      </c>
      <c r="S92" s="106"/>
      <c r="T92" s="106">
        <f>'Pasture 5N'!C81</f>
        <v>15.666666666666666</v>
      </c>
      <c r="U92" s="106"/>
      <c r="V92" s="106">
        <f>'Pasture 5S'!C81</f>
        <v>62.666666666666664</v>
      </c>
      <c r="W92" s="106"/>
      <c r="X92" s="106">
        <f>'Pasture 6A'!C84</f>
        <v>15.666666666666666</v>
      </c>
      <c r="Y92" s="106">
        <f>'Pasture 6B'!C84</f>
        <v>15.666666666666666</v>
      </c>
      <c r="Z92" s="106">
        <f>'Pasture 6C'!C84</f>
        <v>0</v>
      </c>
      <c r="AA92" s="106">
        <f>'Pasture 6D'!C84</f>
        <v>62.666666666666664</v>
      </c>
      <c r="AB92" s="106">
        <f>'Pasture 6E'!C84</f>
        <v>22.083333333333332</v>
      </c>
      <c r="AC92" s="106">
        <f>'Pasture 8'!C85</f>
        <v>25.666666666666668</v>
      </c>
      <c r="AD92" s="106">
        <f>'Pasture 9'!C91</f>
        <v>23</v>
      </c>
      <c r="AE92" s="106">
        <f>'Pasture 10'!C91</f>
        <v>23</v>
      </c>
      <c r="AF92" s="106"/>
      <c r="AG92" s="106">
        <f>'Pasture 11A'!C78</f>
        <v>0</v>
      </c>
      <c r="AH92" s="106">
        <f>'Pasture 11B'!C78</f>
        <v>8.3333333333333339</v>
      </c>
      <c r="AI92" s="106">
        <f>'Pasture 11C'!C78</f>
        <v>0</v>
      </c>
      <c r="AJ92" s="106"/>
      <c r="AK92" s="106">
        <f>'Pasture 12A'!C75</f>
        <v>9.0833333333333339</v>
      </c>
      <c r="AL92" s="106">
        <f>'Pasture 12B'!C75</f>
        <v>0</v>
      </c>
      <c r="AM92" s="106">
        <f>'Pasture 12C'!C75</f>
        <v>67</v>
      </c>
      <c r="AN92" s="106">
        <f>'Pasture 12D'!C75</f>
        <v>24</v>
      </c>
      <c r="AO92" s="106"/>
      <c r="AP92" s="106">
        <f>'Pasture 15'!C71</f>
        <v>20.666666666666668</v>
      </c>
      <c r="AQ92" s="106">
        <f>'Pasture 140'!C59</f>
        <v>0</v>
      </c>
      <c r="AR92" s="112"/>
      <c r="AS92" s="107">
        <f t="shared" si="5"/>
        <v>1997</v>
      </c>
      <c r="AT92" s="106">
        <f t="shared" si="6"/>
        <v>651.50000000000011</v>
      </c>
      <c r="AU92" s="108">
        <f>'Percent Area'!AT91</f>
        <v>19521.398999999998</v>
      </c>
      <c r="AV92" s="109">
        <f t="shared" si="7"/>
        <v>3.3373632699172852E-2</v>
      </c>
      <c r="AW92" s="110">
        <f t="shared" si="8"/>
        <v>1.3506124119454815E-2</v>
      </c>
      <c r="AX92" s="111">
        <f t="shared" si="9"/>
        <v>1.3506124119454817</v>
      </c>
    </row>
    <row r="93" spans="1:50" x14ac:dyDescent="0.3">
      <c r="A93" s="105">
        <v>1998</v>
      </c>
      <c r="B93" s="106">
        <f>'Pasture 1'!C93</f>
        <v>26.25</v>
      </c>
      <c r="C93" s="106"/>
      <c r="D93" s="106">
        <f>'Pasture 2N'!C85</f>
        <v>55</v>
      </c>
      <c r="E93" s="106">
        <f>'Pasture 2SW'!C85</f>
        <v>36.333333333333336</v>
      </c>
      <c r="F93" s="106"/>
      <c r="G93" s="106"/>
      <c r="H93" s="106">
        <f>'UA Cell A'!C85</f>
        <v>99.166666666666671</v>
      </c>
      <c r="I93" s="106"/>
      <c r="J93" s="106"/>
      <c r="K93" s="106"/>
      <c r="L93" s="106"/>
      <c r="M93" s="106"/>
      <c r="N93" s="106"/>
      <c r="O93" s="106"/>
      <c r="P93" s="106"/>
      <c r="Q93" s="106">
        <f>'Pasture 3'!C79</f>
        <v>15.666666666666666</v>
      </c>
      <c r="R93" s="106">
        <f>'Pasture 4'!C85</f>
        <v>9.1666666666666661</v>
      </c>
      <c r="S93" s="106"/>
      <c r="T93" s="106">
        <f>'Pasture 5N'!C82</f>
        <v>62.666666666666664</v>
      </c>
      <c r="U93" s="106"/>
      <c r="V93" s="106">
        <f>'Pasture 5S'!C82</f>
        <v>14.166666666666666</v>
      </c>
      <c r="W93" s="106"/>
      <c r="X93" s="106">
        <f>'Pasture 6A'!C85</f>
        <v>62.666666666666664</v>
      </c>
      <c r="Y93" s="106">
        <f>'Pasture 6B'!C85</f>
        <v>15.666666666666666</v>
      </c>
      <c r="Z93" s="106">
        <f>'Pasture 6C'!C85</f>
        <v>0</v>
      </c>
      <c r="AA93" s="106">
        <f>'Pasture 6D'!C85</f>
        <v>14.166666666666666</v>
      </c>
      <c r="AB93" s="106">
        <f>'Pasture 6E'!C85</f>
        <v>22.708333333333332</v>
      </c>
      <c r="AC93" s="106">
        <f>'Pasture 8'!C86</f>
        <v>22.083333333333332</v>
      </c>
      <c r="AD93" s="106">
        <f>'Pasture 9'!C92</f>
        <v>19.666666666666668</v>
      </c>
      <c r="AE93" s="106">
        <f>'Pasture 10'!C92</f>
        <v>0</v>
      </c>
      <c r="AF93" s="106"/>
      <c r="AG93" s="106">
        <f>'Pasture 11A'!C79</f>
        <v>0</v>
      </c>
      <c r="AH93" s="106">
        <f>'Pasture 11B'!C79</f>
        <v>1.6666666666666667</v>
      </c>
      <c r="AI93" s="106">
        <f>'Pasture 11C'!C79</f>
        <v>0</v>
      </c>
      <c r="AJ93" s="106"/>
      <c r="AK93" s="106">
        <f>'Pasture 12A'!C76</f>
        <v>9.0833333333333339</v>
      </c>
      <c r="AL93" s="106">
        <f>'Pasture 12B'!C76</f>
        <v>0</v>
      </c>
      <c r="AM93" s="106">
        <f>'Pasture 12C'!C76</f>
        <v>54.583333333333336</v>
      </c>
      <c r="AN93" s="106">
        <f>'Pasture 12D'!C76</f>
        <v>21.75</v>
      </c>
      <c r="AO93" s="106"/>
      <c r="AP93" s="106">
        <f>'Pasture 15'!C72</f>
        <v>17.083333333333332</v>
      </c>
      <c r="AQ93" s="106">
        <f>'Pasture 140'!C60</f>
        <v>0</v>
      </c>
      <c r="AR93" s="112"/>
      <c r="AS93" s="107">
        <f t="shared" si="5"/>
        <v>1998</v>
      </c>
      <c r="AT93" s="106">
        <f t="shared" si="6"/>
        <v>579.54166666666674</v>
      </c>
      <c r="AU93" s="108">
        <f>'Percent Area'!AT92</f>
        <v>19521.398999999998</v>
      </c>
      <c r="AV93" s="109">
        <f t="shared" si="7"/>
        <v>2.9687506856791709E-2</v>
      </c>
      <c r="AW93" s="110">
        <f t="shared" si="8"/>
        <v>1.201436942808244E-2</v>
      </c>
      <c r="AX93" s="111">
        <f t="shared" si="9"/>
        <v>1.2014369428082439</v>
      </c>
    </row>
    <row r="94" spans="1:50" x14ac:dyDescent="0.3">
      <c r="A94" s="105">
        <v>1999</v>
      </c>
      <c r="B94" s="106">
        <f>'Pasture 1'!C94</f>
        <v>26</v>
      </c>
      <c r="C94" s="106"/>
      <c r="D94" s="106">
        <f>'Pasture 2N'!C86</f>
        <v>53</v>
      </c>
      <c r="E94" s="106">
        <f>'Pasture 2SW'!C86</f>
        <v>9.1666666666666661</v>
      </c>
      <c r="F94" s="106"/>
      <c r="G94" s="106"/>
      <c r="H94" s="106">
        <f>'UA Cell A'!C86</f>
        <v>104.5</v>
      </c>
      <c r="I94" s="106"/>
      <c r="J94" s="106"/>
      <c r="K94" s="106"/>
      <c r="L94" s="106"/>
      <c r="M94" s="106"/>
      <c r="N94" s="106"/>
      <c r="O94" s="106"/>
      <c r="P94" s="106"/>
      <c r="Q94" s="106">
        <f>'Pasture 3'!C80</f>
        <v>60.400000000000006</v>
      </c>
      <c r="R94" s="106">
        <f>'Pasture 4'!C86</f>
        <v>9.1666666666666661</v>
      </c>
      <c r="S94" s="106"/>
      <c r="T94" s="106">
        <f>'Pasture 5N'!C83</f>
        <v>14.166666666666666</v>
      </c>
      <c r="U94" s="106"/>
      <c r="V94" s="106">
        <f>'Pasture 5S'!C83</f>
        <v>14.166666666666666</v>
      </c>
      <c r="W94" s="106"/>
      <c r="X94" s="106">
        <f>'Pasture 6A'!C86</f>
        <v>14.166666666666666</v>
      </c>
      <c r="Y94" s="106">
        <f>'Pasture 6B'!C86</f>
        <v>59.666666666666664</v>
      </c>
      <c r="Z94" s="106">
        <f>'Pasture 6C'!C86</f>
        <v>0</v>
      </c>
      <c r="AA94" s="106">
        <f>'Pasture 6D'!C86</f>
        <v>14.166666666666666</v>
      </c>
      <c r="AB94" s="106">
        <f>'Pasture 6E'!C86</f>
        <v>22.708333333333332</v>
      </c>
      <c r="AC94" s="106">
        <f>'Pasture 8'!C87</f>
        <v>25.75</v>
      </c>
      <c r="AD94" s="106">
        <f>'Pasture 9'!C93</f>
        <v>0</v>
      </c>
      <c r="AE94" s="106">
        <f>'Pasture 10'!C93</f>
        <v>24.258333333333336</v>
      </c>
      <c r="AF94" s="106"/>
      <c r="AG94" s="106">
        <f>'Pasture 11A'!C80</f>
        <v>0</v>
      </c>
      <c r="AH94" s="106">
        <f>'Pasture 11B'!C80</f>
        <v>8.3333333333333339</v>
      </c>
      <c r="AI94" s="106">
        <f>'Pasture 11C'!C80</f>
        <v>0</v>
      </c>
      <c r="AJ94" s="106"/>
      <c r="AK94" s="106">
        <f>'Pasture 12A'!C77</f>
        <v>39.666666666666664</v>
      </c>
      <c r="AL94" s="106">
        <f>'Pasture 12B'!C77</f>
        <v>2.75</v>
      </c>
      <c r="AM94" s="106">
        <f>'Pasture 12C'!C77</f>
        <v>58.083333333333336</v>
      </c>
      <c r="AN94" s="106">
        <f>'Pasture 12D'!C77</f>
        <v>18.75</v>
      </c>
      <c r="AO94" s="106"/>
      <c r="AP94" s="106">
        <f>'Pasture 15'!C73</f>
        <v>21.5</v>
      </c>
      <c r="AQ94" s="106">
        <f>'Pasture 140'!C61</f>
        <v>0</v>
      </c>
      <c r="AR94" s="112"/>
      <c r="AS94" s="107">
        <f t="shared" si="5"/>
        <v>1999</v>
      </c>
      <c r="AT94" s="106">
        <f t="shared" si="6"/>
        <v>600.36666666666679</v>
      </c>
      <c r="AU94" s="108">
        <f>'Percent Area'!AT93</f>
        <v>19521.398999999998</v>
      </c>
      <c r="AV94" s="109">
        <f t="shared" si="7"/>
        <v>3.0754284908917996E-2</v>
      </c>
      <c r="AW94" s="110">
        <f t="shared" si="8"/>
        <v>1.2446088591225413E-2</v>
      </c>
      <c r="AX94" s="111">
        <f t="shared" si="9"/>
        <v>1.2446088591225413</v>
      </c>
    </row>
    <row r="95" spans="1:50" x14ac:dyDescent="0.3">
      <c r="A95" s="105">
        <v>2000</v>
      </c>
      <c r="B95" s="106">
        <f>'Pasture 1'!C95</f>
        <v>26.5</v>
      </c>
      <c r="C95" s="106"/>
      <c r="D95" s="106">
        <f>'Pasture 2N'!C87</f>
        <v>53</v>
      </c>
      <c r="E95" s="106">
        <f>'Pasture 2SW'!C87</f>
        <v>9.1666666666666661</v>
      </c>
      <c r="F95" s="106"/>
      <c r="G95" s="106"/>
      <c r="H95" s="106">
        <f>'UA Cell A'!C87</f>
        <v>104.5</v>
      </c>
      <c r="I95" s="106"/>
      <c r="J95" s="106"/>
      <c r="K95" s="106"/>
      <c r="L95" s="106"/>
      <c r="M95" s="106"/>
      <c r="N95" s="106"/>
      <c r="O95" s="106"/>
      <c r="P95" s="106"/>
      <c r="Q95" s="106">
        <f>'Pasture 3'!C81</f>
        <v>14.166666666666666</v>
      </c>
      <c r="R95" s="106">
        <f>'Pasture 4'!C87</f>
        <v>38.916666666666664</v>
      </c>
      <c r="S95" s="106"/>
      <c r="T95" s="106">
        <f>'Pasture 5N'!C84</f>
        <v>14.166666666666666</v>
      </c>
      <c r="U95" s="106"/>
      <c r="V95" s="106">
        <f>'Pasture 5S'!C84</f>
        <v>60.416666666666664</v>
      </c>
      <c r="W95" s="106"/>
      <c r="X95" s="106">
        <f>'Pasture 6A'!C87</f>
        <v>14.166666666666666</v>
      </c>
      <c r="Y95" s="106">
        <f>'Pasture 6B'!C87</f>
        <v>14.166666666666666</v>
      </c>
      <c r="Z95" s="106">
        <f>'Pasture 6C'!C87</f>
        <v>0</v>
      </c>
      <c r="AA95" s="106">
        <f>'Pasture 6D'!C87</f>
        <v>59.666666666666664</v>
      </c>
      <c r="AB95" s="106">
        <f>'Pasture 6E'!C87</f>
        <v>26.875</v>
      </c>
      <c r="AC95" s="106">
        <f>'Pasture 8'!C88</f>
        <v>25.75</v>
      </c>
      <c r="AD95" s="106">
        <f>'Pasture 9'!C94</f>
        <v>30.191666666666666</v>
      </c>
      <c r="AE95" s="106">
        <f>'Pasture 10'!C94</f>
        <v>23</v>
      </c>
      <c r="AF95" s="106"/>
      <c r="AG95" s="106">
        <f>'Pasture 11A'!C81</f>
        <v>0</v>
      </c>
      <c r="AH95" s="106">
        <f>'Pasture 11B'!C81</f>
        <v>1.6666666666666667</v>
      </c>
      <c r="AI95" s="106">
        <f>'Pasture 11C'!C81</f>
        <v>0</v>
      </c>
      <c r="AJ95" s="106"/>
      <c r="AK95" s="106">
        <f>'Pasture 12A'!C78</f>
        <v>9.1666666666666661</v>
      </c>
      <c r="AL95" s="106">
        <f>'Pasture 12B'!C78</f>
        <v>9</v>
      </c>
      <c r="AM95" s="106">
        <f>'Pasture 12C'!C78</f>
        <v>62.25</v>
      </c>
      <c r="AN95" s="106">
        <f>'Pasture 12D'!C78</f>
        <v>0</v>
      </c>
      <c r="AO95" s="106"/>
      <c r="AP95" s="106">
        <f>'Pasture 15'!C74</f>
        <v>22.333333333333332</v>
      </c>
      <c r="AQ95" s="106">
        <f>'Pasture 140'!C62</f>
        <v>0</v>
      </c>
      <c r="AR95" s="112"/>
      <c r="AS95" s="107">
        <f t="shared" si="5"/>
        <v>2000</v>
      </c>
      <c r="AT95" s="106">
        <f t="shared" si="6"/>
        <v>619.06666666666672</v>
      </c>
      <c r="AU95" s="108">
        <f>'Percent Area'!AT94</f>
        <v>19521.398999999998</v>
      </c>
      <c r="AV95" s="109">
        <f t="shared" si="7"/>
        <v>3.1712208057766082E-2</v>
      </c>
      <c r="AW95" s="110">
        <f t="shared" si="8"/>
        <v>1.2833754778537466E-2</v>
      </c>
      <c r="AX95" s="111">
        <f t="shared" si="9"/>
        <v>1.2833754778537467</v>
      </c>
    </row>
    <row r="96" spans="1:50" x14ac:dyDescent="0.3">
      <c r="A96" s="105">
        <v>2001</v>
      </c>
      <c r="B96" s="106">
        <f>'Pasture 1'!C96</f>
        <v>26.5</v>
      </c>
      <c r="C96" s="106"/>
      <c r="D96" s="106">
        <f>'Pasture 2N'!C88</f>
        <v>52.25</v>
      </c>
      <c r="E96" s="106">
        <f>'Pasture 2SW'!C88</f>
        <v>39.666666666666664</v>
      </c>
      <c r="F96" s="106"/>
      <c r="G96" s="106"/>
      <c r="H96" s="106">
        <f>'UA Cell A'!C88</f>
        <v>105</v>
      </c>
      <c r="I96" s="106"/>
      <c r="J96" s="106"/>
      <c r="K96" s="106"/>
      <c r="L96" s="106"/>
      <c r="M96" s="106"/>
      <c r="N96" s="106"/>
      <c r="O96" s="106"/>
      <c r="P96" s="106"/>
      <c r="Q96" s="106">
        <f>'Pasture 3'!C82</f>
        <v>14.166666666666666</v>
      </c>
      <c r="R96" s="106">
        <f>'Pasture 4'!C88</f>
        <v>9.1666666666666661</v>
      </c>
      <c r="S96" s="106"/>
      <c r="T96" s="106">
        <f>'Pasture 5N'!C85</f>
        <v>61.666666666666664</v>
      </c>
      <c r="U96" s="106"/>
      <c r="V96" s="106">
        <f>'Pasture 5S'!C85</f>
        <v>14.166666666666666</v>
      </c>
      <c r="W96" s="106"/>
      <c r="X96" s="106">
        <f>'Pasture 6A'!C88</f>
        <v>60.666666666666664</v>
      </c>
      <c r="Y96" s="106">
        <f>'Pasture 6B'!C88</f>
        <v>14.166666666666666</v>
      </c>
      <c r="Z96" s="106">
        <f>'Pasture 6C'!C88</f>
        <v>0</v>
      </c>
      <c r="AA96" s="106">
        <f>'Pasture 6D'!C88</f>
        <v>14.166666666666666</v>
      </c>
      <c r="AB96" s="106">
        <f>'Pasture 6E'!C88</f>
        <v>22.708333333333332</v>
      </c>
      <c r="AC96" s="106">
        <f>'Pasture 8'!C89</f>
        <v>25</v>
      </c>
      <c r="AD96" s="106">
        <f>'Pasture 9'!C95</f>
        <v>22.75</v>
      </c>
      <c r="AE96" s="106">
        <f>'Pasture 10'!C95</f>
        <v>21.25</v>
      </c>
      <c r="AF96" s="106"/>
      <c r="AG96" s="106">
        <f>'Pasture 11A'!C82</f>
        <v>0</v>
      </c>
      <c r="AH96" s="106">
        <f>'Pasture 11B'!C82</f>
        <v>10</v>
      </c>
      <c r="AI96" s="106">
        <f>'Pasture 11C'!C82</f>
        <v>0</v>
      </c>
      <c r="AJ96" s="106"/>
      <c r="AK96" s="106">
        <f>'Pasture 12A'!C79</f>
        <v>9.1666666666666661</v>
      </c>
      <c r="AL96" s="106">
        <f>'Pasture 12B'!C79</f>
        <v>34.25</v>
      </c>
      <c r="AM96" s="106">
        <f>'Pasture 12C'!C79</f>
        <v>62.25</v>
      </c>
      <c r="AN96" s="106">
        <f>'Pasture 12D'!C79</f>
        <v>5.5</v>
      </c>
      <c r="AO96" s="106"/>
      <c r="AP96" s="106">
        <f>'Pasture 15'!C75</f>
        <v>25</v>
      </c>
      <c r="AQ96" s="106">
        <f>'Pasture 140'!C63</f>
        <v>0</v>
      </c>
      <c r="AR96" s="112"/>
      <c r="AS96" s="107">
        <f t="shared" si="5"/>
        <v>2001</v>
      </c>
      <c r="AT96" s="106">
        <f t="shared" si="6"/>
        <v>649.45833333333337</v>
      </c>
      <c r="AU96" s="108">
        <f>'Percent Area'!AT95</f>
        <v>19521.398999999998</v>
      </c>
      <c r="AV96" s="109">
        <f t="shared" si="7"/>
        <v>3.3269046615631057E-2</v>
      </c>
      <c r="AW96" s="110">
        <f t="shared" si="8"/>
        <v>1.3463798711303543E-2</v>
      </c>
      <c r="AX96" s="111">
        <f t="shared" si="9"/>
        <v>1.3463798711303543</v>
      </c>
    </row>
    <row r="97" spans="1:50" x14ac:dyDescent="0.3">
      <c r="A97" s="105">
        <v>2002</v>
      </c>
      <c r="B97" s="106">
        <f>'Pasture 1'!C97</f>
        <v>26.5</v>
      </c>
      <c r="C97" s="106"/>
      <c r="D97" s="106">
        <f>'Pasture 2N'!C89</f>
        <v>52.25</v>
      </c>
      <c r="E97" s="106">
        <f>'Pasture 2SW'!C89</f>
        <v>9.1666666666666661</v>
      </c>
      <c r="F97" s="106"/>
      <c r="G97" s="106"/>
      <c r="H97" s="106">
        <f>'UA Cell A'!C89</f>
        <v>105</v>
      </c>
      <c r="I97" s="106"/>
      <c r="J97" s="106"/>
      <c r="K97" s="106"/>
      <c r="L97" s="106"/>
      <c r="M97" s="106"/>
      <c r="N97" s="106"/>
      <c r="O97" s="106"/>
      <c r="P97" s="106"/>
      <c r="Q97" s="106">
        <f>'Pasture 3'!C83</f>
        <v>61.666666666666664</v>
      </c>
      <c r="R97" s="106">
        <f>'Pasture 4'!C89</f>
        <v>9.1666666666666661</v>
      </c>
      <c r="S97" s="106"/>
      <c r="T97" s="106">
        <f>'Pasture 5N'!C86</f>
        <v>14.166666666666666</v>
      </c>
      <c r="U97" s="106"/>
      <c r="V97" s="106">
        <f>'Pasture 5S'!C86</f>
        <v>14.166666666666666</v>
      </c>
      <c r="W97" s="106"/>
      <c r="X97" s="106">
        <f>'Pasture 6A'!C89</f>
        <v>14.166666666666666</v>
      </c>
      <c r="Y97" s="106">
        <f>'Pasture 6B'!C89</f>
        <v>60.666666666666664</v>
      </c>
      <c r="Z97" s="106">
        <f>'Pasture 6C'!C89</f>
        <v>0</v>
      </c>
      <c r="AA97" s="106">
        <f>'Pasture 6D'!C89</f>
        <v>14.166666666666666</v>
      </c>
      <c r="AB97" s="106">
        <f>'Pasture 6E'!C89</f>
        <v>22.708333333333332</v>
      </c>
      <c r="AC97" s="106">
        <f>'Pasture 8'!C90</f>
        <v>25</v>
      </c>
      <c r="AD97" s="106">
        <f>'Pasture 9'!C96</f>
        <v>22.75</v>
      </c>
      <c r="AE97" s="106">
        <f>'Pasture 10'!C96</f>
        <v>21.25</v>
      </c>
      <c r="AF97" s="106"/>
      <c r="AG97" s="106">
        <f>'Pasture 11A'!C83</f>
        <v>0</v>
      </c>
      <c r="AH97" s="106">
        <f>'Pasture 11B'!C83</f>
        <v>10.833333333333334</v>
      </c>
      <c r="AI97" s="106">
        <f>'Pasture 11C'!C83</f>
        <v>0</v>
      </c>
      <c r="AJ97" s="106"/>
      <c r="AK97" s="106">
        <f>'Pasture 12A'!C80</f>
        <v>39.666666666666664</v>
      </c>
      <c r="AL97" s="106">
        <f>'Pasture 12B'!C80</f>
        <v>15</v>
      </c>
      <c r="AM97" s="106">
        <f>'Pasture 12C'!C80</f>
        <v>62.25</v>
      </c>
      <c r="AN97" s="106">
        <f>'Pasture 12D'!C80</f>
        <v>19.25</v>
      </c>
      <c r="AO97" s="106"/>
      <c r="AP97" s="106">
        <f>'Pasture 15'!C76</f>
        <v>24.166666666666668</v>
      </c>
      <c r="AQ97" s="106">
        <f>'Pasture 140'!C64</f>
        <v>0</v>
      </c>
      <c r="AR97" s="112"/>
      <c r="AS97" s="107">
        <f t="shared" si="5"/>
        <v>2002</v>
      </c>
      <c r="AT97" s="106">
        <f t="shared" si="6"/>
        <v>643.95833333333337</v>
      </c>
      <c r="AU97" s="108">
        <f>'Percent Area'!AT96</f>
        <v>19521.398999999998</v>
      </c>
      <c r="AV97" s="109">
        <f t="shared" si="7"/>
        <v>3.2987304513028677E-2</v>
      </c>
      <c r="AW97" s="110">
        <f t="shared" si="8"/>
        <v>1.3349779244447055E-2</v>
      </c>
      <c r="AX97" s="111">
        <f t="shared" si="9"/>
        <v>1.3349779244447055</v>
      </c>
    </row>
    <row r="98" spans="1:50" x14ac:dyDescent="0.3">
      <c r="A98" s="105">
        <v>2003</v>
      </c>
      <c r="B98" s="106">
        <f>'Pasture 1'!C98</f>
        <v>26.5</v>
      </c>
      <c r="C98" s="106"/>
      <c r="D98" s="106">
        <f>'Pasture 2N'!C90</f>
        <v>52.25</v>
      </c>
      <c r="E98" s="106">
        <f>'Pasture 2SW'!C90</f>
        <v>9.1666666666666661</v>
      </c>
      <c r="F98" s="106"/>
      <c r="G98" s="106"/>
      <c r="H98" s="106">
        <f>'UA Cell A'!C90</f>
        <v>90.520833333333329</v>
      </c>
      <c r="I98" s="106"/>
      <c r="J98" s="106"/>
      <c r="K98" s="106"/>
      <c r="L98" s="106"/>
      <c r="M98" s="106"/>
      <c r="N98" s="106"/>
      <c r="O98" s="106"/>
      <c r="P98" s="106"/>
      <c r="Q98" s="106">
        <f>'Pasture 3'!C84</f>
        <v>14.166666666666666</v>
      </c>
      <c r="R98" s="106">
        <f>'Pasture 4'!C90</f>
        <v>39.666666666666664</v>
      </c>
      <c r="S98" s="106"/>
      <c r="T98" s="106">
        <f>'Pasture 5N'!C87</f>
        <v>14.166666666666666</v>
      </c>
      <c r="U98" s="106"/>
      <c r="V98" s="106">
        <f>'Pasture 5S'!C87</f>
        <v>61.666666666666664</v>
      </c>
      <c r="W98" s="106"/>
      <c r="X98" s="106">
        <f>'Pasture 6A'!C90</f>
        <v>14.166666666666666</v>
      </c>
      <c r="Y98" s="106">
        <f>'Pasture 6B'!C90</f>
        <v>14.166666666666666</v>
      </c>
      <c r="Z98" s="106">
        <f>'Pasture 6C'!C90</f>
        <v>0</v>
      </c>
      <c r="AA98" s="106">
        <f>'Pasture 6D'!C90</f>
        <v>60.666666666666664</v>
      </c>
      <c r="AB98" s="106">
        <f>'Pasture 6E'!C90</f>
        <v>22.708333333333332</v>
      </c>
      <c r="AC98" s="106">
        <f>'Pasture 8'!C91</f>
        <v>25</v>
      </c>
      <c r="AD98" s="106">
        <f>'Pasture 9'!C97</f>
        <v>0</v>
      </c>
      <c r="AE98" s="106">
        <f>'Pasture 10'!C97</f>
        <v>26.625</v>
      </c>
      <c r="AF98" s="106"/>
      <c r="AG98" s="106">
        <f>'Pasture 11A'!C84</f>
        <v>0</v>
      </c>
      <c r="AH98" s="106">
        <f>'Pasture 11B'!C84</f>
        <v>15</v>
      </c>
      <c r="AI98" s="106">
        <f>'Pasture 11C'!C84</f>
        <v>0</v>
      </c>
      <c r="AJ98" s="106"/>
      <c r="AK98" s="106">
        <f>'Pasture 12A'!C81</f>
        <v>9.1666666666666661</v>
      </c>
      <c r="AL98" s="106">
        <f>'Pasture 12B'!C81</f>
        <v>9</v>
      </c>
      <c r="AM98" s="106">
        <f>'Pasture 12C'!C81</f>
        <v>62.25</v>
      </c>
      <c r="AN98" s="106">
        <f>'Pasture 12D'!C81</f>
        <v>16.5</v>
      </c>
      <c r="AO98" s="106"/>
      <c r="AP98" s="106">
        <f>'Pasture 15'!C77</f>
        <v>20</v>
      </c>
      <c r="AQ98" s="106">
        <f>'Pasture 140'!C65</f>
        <v>0</v>
      </c>
      <c r="AR98" s="112"/>
      <c r="AS98" s="107">
        <f t="shared" si="5"/>
        <v>2003</v>
      </c>
      <c r="AT98" s="106">
        <f t="shared" si="6"/>
        <v>603.35416666666674</v>
      </c>
      <c r="AU98" s="108">
        <f>'Percent Area'!AT97</f>
        <v>19521.398999999998</v>
      </c>
      <c r="AV98" s="109">
        <f t="shared" si="7"/>
        <v>3.0907322096467921E-2</v>
      </c>
      <c r="AW98" s="110">
        <f t="shared" si="8"/>
        <v>1.250802189254064E-2</v>
      </c>
      <c r="AX98" s="111">
        <f t="shared" si="9"/>
        <v>1.2508021892540639</v>
      </c>
    </row>
    <row r="99" spans="1:50" x14ac:dyDescent="0.3">
      <c r="A99" s="105">
        <v>2004</v>
      </c>
      <c r="B99" s="106">
        <f>'Pasture 1'!C99</f>
        <v>24.666666666666668</v>
      </c>
      <c r="C99" s="106"/>
      <c r="D99" s="106">
        <f>'Pasture 2N'!C91</f>
        <v>52.25</v>
      </c>
      <c r="E99" s="106">
        <f>'Pasture 2SW'!C91</f>
        <v>53.833333333333336</v>
      </c>
      <c r="F99" s="106"/>
      <c r="G99" s="106"/>
      <c r="H99" s="106">
        <f>'UA Cell A'!C91</f>
        <v>105</v>
      </c>
      <c r="I99" s="106"/>
      <c r="J99" s="106"/>
      <c r="K99" s="106"/>
      <c r="L99" s="106"/>
      <c r="M99" s="106"/>
      <c r="N99" s="106"/>
      <c r="O99" s="106"/>
      <c r="P99" s="106"/>
      <c r="Q99" s="106">
        <f>'Pasture 3'!C85</f>
        <v>14.166666666666666</v>
      </c>
      <c r="R99" s="106">
        <f>'Pasture 4'!C91</f>
        <v>9.1666666666666661</v>
      </c>
      <c r="S99" s="106"/>
      <c r="T99" s="106">
        <f>'Pasture 5N'!C88</f>
        <v>61.666666666666664</v>
      </c>
      <c r="U99" s="106"/>
      <c r="V99" s="106">
        <f>'Pasture 5S'!C88</f>
        <v>14.166666666666666</v>
      </c>
      <c r="W99" s="106"/>
      <c r="X99" s="106">
        <f>'Pasture 6A'!C91</f>
        <v>60.666666666666664</v>
      </c>
      <c r="Y99" s="106">
        <f>'Pasture 6B'!C91</f>
        <v>14.166666666666666</v>
      </c>
      <c r="Z99" s="106">
        <f>'Pasture 6C'!C91</f>
        <v>0</v>
      </c>
      <c r="AA99" s="106">
        <f>'Pasture 6D'!C91</f>
        <v>14.166666666666666</v>
      </c>
      <c r="AB99" s="106">
        <f>'Pasture 6E'!C91</f>
        <v>22.708333333333332</v>
      </c>
      <c r="AC99" s="106">
        <f>'Pasture 8'!C92</f>
        <v>25</v>
      </c>
      <c r="AD99" s="106">
        <f>'Pasture 9'!C98</f>
        <v>20.75</v>
      </c>
      <c r="AE99" s="106">
        <f>'Pasture 10'!C98</f>
        <v>12.833333333333334</v>
      </c>
      <c r="AF99" s="106"/>
      <c r="AG99" s="106">
        <f>'Pasture 11A'!C85</f>
        <v>0</v>
      </c>
      <c r="AH99" s="106">
        <f>'Pasture 11B'!C85</f>
        <v>15</v>
      </c>
      <c r="AI99" s="106">
        <f>'Pasture 11C'!C85</f>
        <v>0</v>
      </c>
      <c r="AJ99" s="106"/>
      <c r="AK99" s="106">
        <f>'Pasture 12A'!C82</f>
        <v>9.1666666666666661</v>
      </c>
      <c r="AL99" s="106">
        <f>'Pasture 12B'!C82</f>
        <v>22.333333333333332</v>
      </c>
      <c r="AM99" s="106">
        <f>'Pasture 12C'!C82</f>
        <v>62.25</v>
      </c>
      <c r="AN99" s="106">
        <f>'Pasture 12D'!C82</f>
        <v>16.5</v>
      </c>
      <c r="AO99" s="106"/>
      <c r="AP99" s="106">
        <f>'Pasture 15'!C78</f>
        <v>20</v>
      </c>
      <c r="AQ99" s="106">
        <f>'Pasture 140'!C66</f>
        <v>0</v>
      </c>
      <c r="AR99" s="112"/>
      <c r="AS99" s="107">
        <f t="shared" si="5"/>
        <v>2004</v>
      </c>
      <c r="AT99" s="106">
        <f t="shared" si="6"/>
        <v>650.45833333333337</v>
      </c>
      <c r="AU99" s="108">
        <f>'Percent Area'!AT98</f>
        <v>19521.398999999998</v>
      </c>
      <c r="AV99" s="109">
        <f t="shared" si="7"/>
        <v>3.3320272452467853E-2</v>
      </c>
      <c r="AW99" s="110">
        <f t="shared" si="8"/>
        <v>1.3484529523459268E-2</v>
      </c>
      <c r="AX99" s="111">
        <f t="shared" si="9"/>
        <v>1.3484529523459268</v>
      </c>
    </row>
    <row r="100" spans="1:50" x14ac:dyDescent="0.3">
      <c r="A100" s="105">
        <v>2005</v>
      </c>
      <c r="B100" s="106">
        <f>'Pasture 1'!C100</f>
        <v>24.5</v>
      </c>
      <c r="C100" s="106"/>
      <c r="D100" s="106">
        <f>'Pasture 2N'!C92</f>
        <v>43.916666666666664</v>
      </c>
      <c r="E100" s="106">
        <f>'Pasture 2SW'!C92</f>
        <v>14.166666666666666</v>
      </c>
      <c r="F100" s="106"/>
      <c r="G100" s="106"/>
      <c r="H100" s="106">
        <f>'UA Cell A'!C92</f>
        <v>93.75</v>
      </c>
      <c r="I100" s="106"/>
      <c r="J100" s="106"/>
      <c r="K100" s="106"/>
      <c r="L100" s="106"/>
      <c r="M100" s="106"/>
      <c r="N100" s="106"/>
      <c r="O100" s="106"/>
      <c r="P100" s="106"/>
      <c r="Q100" s="106">
        <f>'Pasture 3'!C86</f>
        <v>61.666666666666664</v>
      </c>
      <c r="R100" s="106">
        <f>'Pasture 4'!C92</f>
        <v>9.1666666666666661</v>
      </c>
      <c r="S100" s="106"/>
      <c r="T100" s="106">
        <f>'Pasture 5N'!C89</f>
        <v>0</v>
      </c>
      <c r="U100" s="106"/>
      <c r="V100" s="106">
        <f>'Pasture 5S'!C89</f>
        <v>14.166666666666666</v>
      </c>
      <c r="W100" s="106"/>
      <c r="X100" s="106">
        <f>'Pasture 6A'!C92</f>
        <v>14.166666666666666</v>
      </c>
      <c r="Y100" s="106">
        <f>'Pasture 6B'!C92</f>
        <v>60.666666666666664</v>
      </c>
      <c r="Z100" s="106">
        <f>'Pasture 6C'!C92</f>
        <v>0</v>
      </c>
      <c r="AA100" s="106">
        <f>'Pasture 6D'!C92</f>
        <v>14.166666666666666</v>
      </c>
      <c r="AB100" s="106">
        <f>'Pasture 6E'!C92</f>
        <v>22.708333333333332</v>
      </c>
      <c r="AC100" s="106">
        <f>'Pasture 8'!C93</f>
        <v>25.25</v>
      </c>
      <c r="AD100" s="106">
        <f>'Pasture 9'!C99</f>
        <v>0</v>
      </c>
      <c r="AE100" s="106">
        <f>'Pasture 10'!C99</f>
        <v>0</v>
      </c>
      <c r="AF100" s="106"/>
      <c r="AG100" s="106">
        <f>'Pasture 11A'!C86</f>
        <v>0</v>
      </c>
      <c r="AH100" s="106">
        <f>'Pasture 11B'!C86</f>
        <v>12.5</v>
      </c>
      <c r="AI100" s="106">
        <f>'Pasture 11C'!C86</f>
        <v>0</v>
      </c>
      <c r="AJ100" s="106"/>
      <c r="AK100" s="106">
        <f>'Pasture 12A'!C83</f>
        <v>48.833333333333336</v>
      </c>
      <c r="AL100" s="106">
        <f>'Pasture 12B'!C83</f>
        <v>16.666666666666668</v>
      </c>
      <c r="AM100" s="106">
        <f>'Pasture 12C'!C83</f>
        <v>58.916666666666664</v>
      </c>
      <c r="AN100" s="106">
        <f>'Pasture 12D'!C83</f>
        <v>16.5</v>
      </c>
      <c r="AO100" s="106"/>
      <c r="AP100" s="106">
        <f>'Pasture 15'!C79</f>
        <v>16.666666666666668</v>
      </c>
      <c r="AQ100" s="106">
        <f>'Pasture 140'!C67</f>
        <v>0</v>
      </c>
      <c r="AR100" s="112"/>
      <c r="AS100" s="107">
        <f t="shared" si="5"/>
        <v>2005</v>
      </c>
      <c r="AT100" s="106">
        <f t="shared" si="6"/>
        <v>568.375</v>
      </c>
      <c r="AU100" s="108">
        <f>'Percent Area'!AT99</f>
        <v>19521.398999999998</v>
      </c>
      <c r="AV100" s="109">
        <f t="shared" si="7"/>
        <v>2.9115485012114146E-2</v>
      </c>
      <c r="AW100" s="110">
        <f t="shared" si="8"/>
        <v>1.1782875359010176E-2</v>
      </c>
      <c r="AX100" s="111">
        <f t="shared" si="9"/>
        <v>1.1782875359010176</v>
      </c>
    </row>
    <row r="101" spans="1:50" x14ac:dyDescent="0.3">
      <c r="A101" s="105">
        <v>2006</v>
      </c>
      <c r="B101" s="106">
        <f>'Pasture 1'!C101</f>
        <v>20.416666666666668</v>
      </c>
      <c r="C101" s="106"/>
      <c r="D101" s="106">
        <f>'Pasture 2N'!C93</f>
        <v>46.383333333333333</v>
      </c>
      <c r="E101" s="106">
        <f>'Pasture 2SW'!C93</f>
        <v>0.3666666666666667</v>
      </c>
      <c r="F101" s="106"/>
      <c r="G101" s="106"/>
      <c r="H101" s="106"/>
      <c r="I101" s="106">
        <f>'UA Cell A'!C93</f>
        <v>2.6750000000000003</v>
      </c>
      <c r="J101" s="106">
        <f>'UA Cell B'!C93</f>
        <v>8.3333333333333329E-2</v>
      </c>
      <c r="K101" s="106">
        <f>'UA Cell C'!C93</f>
        <v>0</v>
      </c>
      <c r="L101" s="106">
        <f>'UA Cell D'!C93</f>
        <v>0</v>
      </c>
      <c r="M101" s="106">
        <f>'UA Cell E'!C93</f>
        <v>0</v>
      </c>
      <c r="N101" s="106">
        <f>'UA Cell F'!C93</f>
        <v>0</v>
      </c>
      <c r="O101" s="106">
        <f>'UA Cell G'!C93</f>
        <v>0</v>
      </c>
      <c r="P101" s="106">
        <f>'UA Cell H'!C93</f>
        <v>2.3916666666666666</v>
      </c>
      <c r="Q101" s="106">
        <f>'Pasture 3'!C87</f>
        <v>0.11666666666666665</v>
      </c>
      <c r="R101" s="106">
        <f>'Pasture 4'!C93</f>
        <v>0.66666666666666663</v>
      </c>
      <c r="S101" s="106"/>
      <c r="T101" s="106">
        <f>'Pasture 5N'!C90</f>
        <v>36.833333333333336</v>
      </c>
      <c r="U101" s="106"/>
      <c r="V101" s="106">
        <f>'Pasture 5S'!C90</f>
        <v>31.741666666666664</v>
      </c>
      <c r="W101" s="106"/>
      <c r="X101" s="106">
        <f>'Pasture 6A'!C93</f>
        <v>0</v>
      </c>
      <c r="Y101" s="106">
        <f>'Pasture 6B'!C93</f>
        <v>6.1916666666666664</v>
      </c>
      <c r="Z101" s="106">
        <f>'Pasture 6C'!C93</f>
        <v>0</v>
      </c>
      <c r="AA101" s="106">
        <f>'Pasture 6D'!C93</f>
        <v>60.666666666666664</v>
      </c>
      <c r="AB101" s="106">
        <f>'Pasture 6E'!C93</f>
        <v>22.708333333333332</v>
      </c>
      <c r="AC101" s="106">
        <f>'Pasture 8'!C94</f>
        <v>22.083333333333332</v>
      </c>
      <c r="AD101" s="106">
        <f>'Pasture 9'!C100</f>
        <v>0</v>
      </c>
      <c r="AE101" s="106">
        <f>'Pasture 10'!C100</f>
        <v>0</v>
      </c>
      <c r="AF101" s="106"/>
      <c r="AG101" s="106">
        <f>'Pasture 11A'!C87</f>
        <v>0</v>
      </c>
      <c r="AH101" s="106">
        <f>'Pasture 11B'!C87</f>
        <v>1.45</v>
      </c>
      <c r="AI101" s="106">
        <f>'Pasture 11C'!C87</f>
        <v>0</v>
      </c>
      <c r="AJ101" s="106"/>
      <c r="AK101" s="106">
        <f>'Pasture 12A'!C84</f>
        <v>0</v>
      </c>
      <c r="AL101" s="106">
        <f>'Pasture 12B'!C84</f>
        <v>17.541666666666668</v>
      </c>
      <c r="AM101" s="106">
        <f>'Pasture 12C'!C84</f>
        <v>34.833333333333336</v>
      </c>
      <c r="AN101" s="106">
        <f>'Pasture 12D'!C84</f>
        <v>14.041666666666666</v>
      </c>
      <c r="AO101" s="106"/>
      <c r="AP101" s="106">
        <f>'Pasture 15'!C80</f>
        <v>0</v>
      </c>
      <c r="AQ101" s="106">
        <f>'Pasture 140'!C68</f>
        <v>0</v>
      </c>
      <c r="AR101" s="112"/>
      <c r="AS101" s="107">
        <f t="shared" si="5"/>
        <v>2006</v>
      </c>
      <c r="AT101" s="106">
        <f t="shared" si="6"/>
        <v>321.19166666666666</v>
      </c>
      <c r="AU101" s="108">
        <f>'Percent Area'!AT100</f>
        <v>19535.748999999996</v>
      </c>
      <c r="AV101" s="109">
        <f t="shared" si="7"/>
        <v>1.6441226116626843E-2</v>
      </c>
      <c r="AW101" s="110">
        <f t="shared" si="8"/>
        <v>6.6536730540780421E-3</v>
      </c>
      <c r="AX101" s="111">
        <f t="shared" si="9"/>
        <v>0.6653673054078042</v>
      </c>
    </row>
    <row r="102" spans="1:50" x14ac:dyDescent="0.3">
      <c r="A102" s="105">
        <v>2007</v>
      </c>
      <c r="B102" s="106">
        <f>'Pasture 1'!C102</f>
        <v>5.8833333333333329</v>
      </c>
      <c r="C102" s="106"/>
      <c r="D102" s="106">
        <f>'Pasture 2N'!C94</f>
        <v>1.8083333333333336</v>
      </c>
      <c r="E102" s="106">
        <f>'Pasture 2SW'!C94</f>
        <v>21.658333333333335</v>
      </c>
      <c r="F102" s="106"/>
      <c r="G102" s="106"/>
      <c r="H102" s="106"/>
      <c r="I102" s="106">
        <f>'UA Cell A'!C94</f>
        <v>1.9083333333333332</v>
      </c>
      <c r="J102" s="106">
        <f>'UA Cell B'!C94</f>
        <v>5.000000000000001E-2</v>
      </c>
      <c r="K102" s="106">
        <f>'UA Cell C'!C94</f>
        <v>0</v>
      </c>
      <c r="L102" s="106">
        <f>'UA Cell D'!C94</f>
        <v>0</v>
      </c>
      <c r="M102" s="106">
        <f>'UA Cell E'!C94</f>
        <v>0</v>
      </c>
      <c r="N102" s="106">
        <f>'UA Cell F'!C94</f>
        <v>8.2249999999999996</v>
      </c>
      <c r="O102" s="106">
        <f>'UA Cell G'!C94</f>
        <v>1.7416666666666669</v>
      </c>
      <c r="P102" s="106">
        <f>'UA Cell H'!C94</f>
        <v>2.1333333333333333</v>
      </c>
      <c r="Q102" s="106">
        <f>'Pasture 3'!C88</f>
        <v>15.325000000000001</v>
      </c>
      <c r="R102" s="106">
        <f>'Pasture 4'!C94</f>
        <v>31.691666666666666</v>
      </c>
      <c r="S102" s="106"/>
      <c r="T102" s="106">
        <f>'Pasture 5N'!C91</f>
        <v>13.083333333333334</v>
      </c>
      <c r="U102" s="106"/>
      <c r="V102" s="106">
        <f>'Pasture 5S'!C91</f>
        <v>9.6916666666666664</v>
      </c>
      <c r="W102" s="106"/>
      <c r="X102" s="106">
        <f>'Pasture 6A'!C94</f>
        <v>76.058333333333323</v>
      </c>
      <c r="Y102" s="106">
        <f>'Pasture 6B'!C94</f>
        <v>39.741666666666667</v>
      </c>
      <c r="Z102" s="106">
        <f>'Pasture 6C'!C94</f>
        <v>0</v>
      </c>
      <c r="AA102" s="106">
        <f>'Pasture 6D'!C94</f>
        <v>62.291666666666679</v>
      </c>
      <c r="AB102" s="106">
        <f>'Pasture 6E'!C94</f>
        <v>18.366666666666667</v>
      </c>
      <c r="AC102" s="106">
        <f>'Pasture 8'!C95</f>
        <v>10.966666666666667</v>
      </c>
      <c r="AD102" s="106">
        <f>'Pasture 9'!C101</f>
        <v>0</v>
      </c>
      <c r="AE102" s="106">
        <f>'Pasture 10'!C101</f>
        <v>0</v>
      </c>
      <c r="AF102" s="106"/>
      <c r="AG102" s="106">
        <f>'Pasture 11A'!C88</f>
        <v>0</v>
      </c>
      <c r="AH102" s="106">
        <f>'Pasture 11B'!C88</f>
        <v>0.20833333333333334</v>
      </c>
      <c r="AI102" s="106">
        <f>'Pasture 11C'!C88</f>
        <v>1.7333333333333334</v>
      </c>
      <c r="AJ102" s="106"/>
      <c r="AK102" s="106">
        <f>'Pasture 12A'!C85</f>
        <v>13.066666666666668</v>
      </c>
      <c r="AL102" s="106">
        <f>'Pasture 12B'!C85</f>
        <v>13.9</v>
      </c>
      <c r="AM102" s="106">
        <f>'Pasture 12C'!C85</f>
        <v>18.733333333333334</v>
      </c>
      <c r="AN102" s="106">
        <f>'Pasture 12D'!C85</f>
        <v>15.533333333333333</v>
      </c>
      <c r="AO102" s="106"/>
      <c r="AP102" s="106">
        <f>'Pasture 15'!C81</f>
        <v>44.108333333333327</v>
      </c>
      <c r="AQ102" s="106">
        <f>'Pasture 140'!C69</f>
        <v>0.4916666666666667</v>
      </c>
      <c r="AR102" s="112"/>
      <c r="AS102" s="107">
        <f t="shared" si="5"/>
        <v>2007</v>
      </c>
      <c r="AT102" s="106">
        <f t="shared" si="6"/>
        <v>428.40000000000003</v>
      </c>
      <c r="AU102" s="108">
        <f>'Percent Area'!AT101</f>
        <v>19535.748999999996</v>
      </c>
      <c r="AV102" s="109">
        <f t="shared" si="7"/>
        <v>2.1929028674559654E-2</v>
      </c>
      <c r="AW102" s="110">
        <f t="shared" si="8"/>
        <v>8.8745563231726644E-3</v>
      </c>
      <c r="AX102" s="111">
        <f t="shared" si="9"/>
        <v>0.88745563231726643</v>
      </c>
    </row>
    <row r="103" spans="1:50" x14ac:dyDescent="0.3">
      <c r="A103" s="105">
        <v>2008</v>
      </c>
      <c r="B103" s="106">
        <f>'Pasture 1'!C103</f>
        <v>16.618333333333332</v>
      </c>
      <c r="C103" s="106"/>
      <c r="D103" s="106">
        <f>'Pasture 2N'!C95</f>
        <v>70.808333333333323</v>
      </c>
      <c r="E103" s="106">
        <f>'Pasture 2SW'!C95</f>
        <v>24.891666666666669</v>
      </c>
      <c r="F103" s="106"/>
      <c r="G103" s="106"/>
      <c r="H103" s="106"/>
      <c r="I103" s="106">
        <f>'UA Cell A'!C95</f>
        <v>5.5750000000000002</v>
      </c>
      <c r="J103" s="106">
        <f>'UA Cell B'!C95</f>
        <v>0</v>
      </c>
      <c r="K103" s="106">
        <f>'UA Cell C'!C95</f>
        <v>0</v>
      </c>
      <c r="L103" s="106">
        <f>'UA Cell D'!C95</f>
        <v>0</v>
      </c>
      <c r="M103" s="106">
        <f>'UA Cell E'!C95</f>
        <v>0</v>
      </c>
      <c r="N103" s="106">
        <f>'UA Cell F'!C95</f>
        <v>0.9916666666666667</v>
      </c>
      <c r="O103" s="106">
        <f>'UA Cell G'!C95</f>
        <v>5.0666666666666664</v>
      </c>
      <c r="P103" s="106">
        <f>'UA Cell H'!C95</f>
        <v>4.083333333333333</v>
      </c>
      <c r="Q103" s="106">
        <f>'Pasture 3'!C89</f>
        <v>28.958333333333332</v>
      </c>
      <c r="R103" s="106">
        <f>'Pasture 4'!C95</f>
        <v>1.76475</v>
      </c>
      <c r="S103" s="106"/>
      <c r="T103" s="106">
        <f>'Pasture 5N'!C92</f>
        <v>13.466666666666667</v>
      </c>
      <c r="U103" s="106">
        <f>'Pasture 5Mid'!C92</f>
        <v>11.991666666666667</v>
      </c>
      <c r="V103" s="106">
        <f>'Pasture 5S'!C92</f>
        <v>38.408333333333331</v>
      </c>
      <c r="W103" s="106"/>
      <c r="X103" s="106">
        <f>'Pasture 6A'!C95</f>
        <v>12.549999999999999</v>
      </c>
      <c r="Y103" s="106">
        <f>'Pasture 6B'!C95</f>
        <v>13.174999999999999</v>
      </c>
      <c r="Z103" s="106">
        <f>'Pasture 6C'!C95</f>
        <v>0</v>
      </c>
      <c r="AA103" s="106">
        <f>'Pasture 6D'!C95</f>
        <v>12.775</v>
      </c>
      <c r="AB103" s="106">
        <f>'Pasture 6E'!C95</f>
        <v>12.291666666666666</v>
      </c>
      <c r="AC103" s="106">
        <f>'Pasture 8'!C96</f>
        <v>13.716666666666663</v>
      </c>
      <c r="AD103" s="106">
        <f>'Pasture 9'!C102</f>
        <v>0</v>
      </c>
      <c r="AE103" s="106">
        <f>'Pasture 10'!C102</f>
        <v>0</v>
      </c>
      <c r="AF103" s="106"/>
      <c r="AG103" s="106">
        <f>'Pasture 11A'!C89</f>
        <v>0.22916666666666666</v>
      </c>
      <c r="AH103" s="106">
        <f>'Pasture 11B'!C89</f>
        <v>2.8275000000000001</v>
      </c>
      <c r="AI103" s="106">
        <f>'Pasture 11C'!C89</f>
        <v>3.2583333333333329</v>
      </c>
      <c r="AJ103" s="106"/>
      <c r="AK103" s="106">
        <f>'Pasture 12A'!C86</f>
        <v>11.358333333333334</v>
      </c>
      <c r="AL103" s="106">
        <f>'Pasture 12B'!C86</f>
        <v>24.983333333333334</v>
      </c>
      <c r="AM103" s="106">
        <f>'Pasture 12C'!C86</f>
        <v>55.358333333333341</v>
      </c>
      <c r="AN103" s="106">
        <f>'Pasture 12D'!C86</f>
        <v>3.75</v>
      </c>
      <c r="AO103" s="106"/>
      <c r="AP103" s="106">
        <f>'Pasture 15'!C82</f>
        <v>12.366666666666667</v>
      </c>
      <c r="AQ103" s="106">
        <f>'Pasture 140'!C70</f>
        <v>0</v>
      </c>
      <c r="AR103" s="112"/>
      <c r="AS103" s="107">
        <f t="shared" si="5"/>
        <v>2008</v>
      </c>
      <c r="AT103" s="106">
        <f t="shared" si="6"/>
        <v>401.26475000000005</v>
      </c>
      <c r="AU103" s="108">
        <f>'Percent Area'!AT102</f>
        <v>19535.708999999999</v>
      </c>
      <c r="AV103" s="109">
        <f t="shared" si="7"/>
        <v>2.0540065886526057E-2</v>
      </c>
      <c r="AW103" s="110">
        <f t="shared" si="8"/>
        <v>8.312450783701358E-3</v>
      </c>
      <c r="AX103" s="111">
        <f t="shared" si="9"/>
        <v>0.83124507837013584</v>
      </c>
    </row>
    <row r="104" spans="1:50" x14ac:dyDescent="0.3">
      <c r="A104" s="105">
        <v>2009</v>
      </c>
      <c r="B104" s="106">
        <f>'Pasture 1'!C104</f>
        <v>2.1583333333333332</v>
      </c>
      <c r="C104" s="106"/>
      <c r="D104" s="106">
        <f>'Pasture 2N'!C96</f>
        <v>52.92499999999999</v>
      </c>
      <c r="E104" s="106">
        <f>'Pasture 2SW'!C96</f>
        <v>12.841666666666667</v>
      </c>
      <c r="F104" s="106"/>
      <c r="G104" s="106"/>
      <c r="H104" s="106"/>
      <c r="I104" s="106">
        <f>'UA Cell A'!C96</f>
        <v>3.0333333333333332</v>
      </c>
      <c r="J104" s="106">
        <f>'UA Cell B'!C96</f>
        <v>0</v>
      </c>
      <c r="K104" s="106">
        <f>'UA Cell C'!C96</f>
        <v>0</v>
      </c>
      <c r="L104" s="106">
        <f>'UA Cell D'!C96</f>
        <v>5.5750000000000002</v>
      </c>
      <c r="M104" s="106">
        <f>'UA Cell E'!C96</f>
        <v>0</v>
      </c>
      <c r="N104" s="106">
        <f>'UA Cell F'!C96</f>
        <v>2.3916666666666666</v>
      </c>
      <c r="O104" s="106">
        <f>'UA Cell G'!C96</f>
        <v>2.3916666666666666</v>
      </c>
      <c r="P104" s="106">
        <f>'UA Cell H'!C96</f>
        <v>3.1583333333333332</v>
      </c>
      <c r="Q104" s="106">
        <f>'Pasture 3'!C90</f>
        <v>49.56666666666667</v>
      </c>
      <c r="R104" s="106">
        <f>'Pasture 4'!C96</f>
        <v>17.897583333333333</v>
      </c>
      <c r="S104" s="106"/>
      <c r="T104" s="106">
        <f>'Pasture 5N'!C93</f>
        <v>23.766666666666666</v>
      </c>
      <c r="U104" s="106">
        <f>'Pasture 5Mid'!C93</f>
        <v>41.425000000000004</v>
      </c>
      <c r="V104" s="106">
        <f>'Pasture 5S'!C93</f>
        <v>72.600000000000009</v>
      </c>
      <c r="W104" s="106"/>
      <c r="X104" s="106">
        <f>'Pasture 6A'!C96</f>
        <v>15.141666666666666</v>
      </c>
      <c r="Y104" s="106">
        <f>'Pasture 6B'!C96</f>
        <v>13.308333333333332</v>
      </c>
      <c r="Z104" s="106">
        <f>'Pasture 6C'!C96</f>
        <v>0</v>
      </c>
      <c r="AA104" s="106">
        <f>'Pasture 6D'!C96</f>
        <v>15.725</v>
      </c>
      <c r="AB104" s="106">
        <f>'Pasture 6E'!C96</f>
        <v>23.908333333333331</v>
      </c>
      <c r="AC104" s="106">
        <f>'Pasture 8'!C97</f>
        <v>13.508333333333333</v>
      </c>
      <c r="AD104" s="106">
        <f>'Pasture 9'!C103</f>
        <v>0</v>
      </c>
      <c r="AE104" s="106">
        <f>'Pasture 10'!C103</f>
        <v>0</v>
      </c>
      <c r="AF104" s="106"/>
      <c r="AG104" s="106">
        <f>'Pasture 11A'!C90</f>
        <v>0</v>
      </c>
      <c r="AH104" s="106">
        <f>'Pasture 11B'!C90</f>
        <v>2.5108333333333333</v>
      </c>
      <c r="AI104" s="106">
        <f>'Pasture 11C'!C90</f>
        <v>1.2699999999999998</v>
      </c>
      <c r="AJ104" s="106"/>
      <c r="AK104" s="106">
        <f>'Pasture 12A'!C87</f>
        <v>5.166666666666667</v>
      </c>
      <c r="AL104" s="106">
        <f>'Pasture 12B'!C87</f>
        <v>38.208333333333336</v>
      </c>
      <c r="AM104" s="106">
        <f>'Pasture 12C'!C87</f>
        <v>34.541666666666664</v>
      </c>
      <c r="AN104" s="106">
        <f>'Pasture 12D'!C87</f>
        <v>6.1583333333333341</v>
      </c>
      <c r="AO104" s="106"/>
      <c r="AP104" s="106">
        <f>'Pasture 15'!C83</f>
        <v>0</v>
      </c>
      <c r="AQ104" s="106">
        <f>'Pasture 140'!C71</f>
        <v>1.3333333333333333</v>
      </c>
      <c r="AR104" s="112"/>
      <c r="AS104" s="107">
        <f t="shared" si="5"/>
        <v>2009</v>
      </c>
      <c r="AT104" s="106">
        <f t="shared" si="6"/>
        <v>460.51175000000001</v>
      </c>
      <c r="AU104" s="108">
        <f>'Percent Area'!AT103</f>
        <v>19535.708999999999</v>
      </c>
      <c r="AV104" s="109">
        <f t="shared" si="7"/>
        <v>2.3572819906357123E-2</v>
      </c>
      <c r="AW104" s="110">
        <f t="shared" si="8"/>
        <v>9.5397895209862905E-3</v>
      </c>
      <c r="AX104" s="111">
        <f t="shared" si="9"/>
        <v>0.95397895209862904</v>
      </c>
    </row>
    <row r="105" spans="1:50" x14ac:dyDescent="0.3">
      <c r="A105" s="105">
        <v>2010</v>
      </c>
      <c r="B105" s="106">
        <f>'Pasture 1'!C105</f>
        <v>9.7000000000000011</v>
      </c>
      <c r="C105" s="106"/>
      <c r="D105" s="106">
        <f>'Pasture 2N'!C97</f>
        <v>49</v>
      </c>
      <c r="E105" s="106">
        <f>'Pasture 2SW'!C97</f>
        <v>0</v>
      </c>
      <c r="F105" s="106"/>
      <c r="G105" s="106"/>
      <c r="H105" s="106"/>
      <c r="I105" s="106">
        <f>'UA Cell A'!C97</f>
        <v>2.2583333333333333</v>
      </c>
      <c r="J105" s="106">
        <f>'UA Cell B'!C97</f>
        <v>0</v>
      </c>
      <c r="K105" s="106">
        <f>'UA Cell C'!C97</f>
        <v>0</v>
      </c>
      <c r="L105" s="106">
        <f>'UA Cell D'!C97</f>
        <v>4.5333333333333341</v>
      </c>
      <c r="M105" s="106">
        <f>'UA Cell E'!C97</f>
        <v>2.4250000000000003</v>
      </c>
      <c r="N105" s="106">
        <f>'UA Cell F'!C97</f>
        <v>2.1</v>
      </c>
      <c r="O105" s="106">
        <f>'UA Cell G'!C97</f>
        <v>1.5416666666666667</v>
      </c>
      <c r="P105" s="106">
        <f>'UA Cell H'!C97</f>
        <v>2.5833333333333335</v>
      </c>
      <c r="Q105" s="106">
        <f>'Pasture 3'!C91</f>
        <v>38.950000000000003</v>
      </c>
      <c r="R105" s="106">
        <f>'Pasture 4'!C97</f>
        <v>2.9499999999999997</v>
      </c>
      <c r="S105" s="106"/>
      <c r="T105" s="106">
        <f>'Pasture 5N'!C94</f>
        <v>14.783333333333333</v>
      </c>
      <c r="U105" s="106">
        <f>'Pasture 5Mid'!C94</f>
        <v>30.691666666666666</v>
      </c>
      <c r="V105" s="106">
        <f>'Pasture 5S'!C94</f>
        <v>49.35</v>
      </c>
      <c r="W105" s="106"/>
      <c r="X105" s="106">
        <f>'Pasture 6A'!C97</f>
        <v>27.116666666666664</v>
      </c>
      <c r="Y105" s="106">
        <f>'Pasture 6B'!C97</f>
        <v>13.950000000000001</v>
      </c>
      <c r="Z105" s="106">
        <f>'Pasture 6C'!C97</f>
        <v>0</v>
      </c>
      <c r="AA105" s="106">
        <f>'Pasture 6D'!C97</f>
        <v>13.166666666666666</v>
      </c>
      <c r="AB105" s="106">
        <f>'Pasture 6E'!C97</f>
        <v>16.333333333333332</v>
      </c>
      <c r="AC105" s="106">
        <f>'Pasture 8'!C98</f>
        <v>8.2333333333333325</v>
      </c>
      <c r="AD105" s="106">
        <f>'Pasture 9'!C104</f>
        <v>0</v>
      </c>
      <c r="AE105" s="106">
        <f>'Pasture 10'!C104</f>
        <v>0</v>
      </c>
      <c r="AF105" s="106"/>
      <c r="AG105" s="106">
        <f>'Pasture 11A'!C91</f>
        <v>0</v>
      </c>
      <c r="AH105" s="106">
        <f>'Pasture 11B'!C91</f>
        <v>2.7416666666666667</v>
      </c>
      <c r="AI105" s="106">
        <f>'Pasture 11C'!C91</f>
        <v>1.325</v>
      </c>
      <c r="AJ105" s="106"/>
      <c r="AK105" s="106">
        <f>'Pasture 12A'!C88</f>
        <v>8.3333333333333332E-3</v>
      </c>
      <c r="AL105" s="106">
        <f>'Pasture 12B'!C88</f>
        <v>29.816666666666666</v>
      </c>
      <c r="AM105" s="106">
        <f>'Pasture 12C'!C88</f>
        <v>0</v>
      </c>
      <c r="AN105" s="106">
        <f>'Pasture 12D'!C88</f>
        <v>6.375</v>
      </c>
      <c r="AO105" s="106"/>
      <c r="AP105" s="106">
        <f>'Pasture 15'!C84</f>
        <v>13.208333333333334</v>
      </c>
      <c r="AQ105" s="106">
        <f>'Pasture 140'!C72</f>
        <v>0.83333333333333337</v>
      </c>
      <c r="AR105" s="112"/>
      <c r="AS105" s="107">
        <f t="shared" si="5"/>
        <v>2010</v>
      </c>
      <c r="AT105" s="106">
        <f t="shared" si="6"/>
        <v>343.97499999999997</v>
      </c>
      <c r="AU105" s="108">
        <f>'Percent Area'!AT104</f>
        <v>19535.708999999999</v>
      </c>
      <c r="AV105" s="109">
        <f t="shared" si="7"/>
        <v>1.7607500193619795E-2</v>
      </c>
      <c r="AW105" s="110">
        <f t="shared" si="8"/>
        <v>7.1256577068473468E-3</v>
      </c>
      <c r="AX105" s="111">
        <f t="shared" si="9"/>
        <v>0.7125657706847347</v>
      </c>
    </row>
    <row r="106" spans="1:50" x14ac:dyDescent="0.3">
      <c r="A106" s="105">
        <v>2011</v>
      </c>
      <c r="B106" s="106">
        <f>'Pasture 1'!C106</f>
        <v>3.9583333333333335</v>
      </c>
      <c r="C106" s="106"/>
      <c r="D106" s="106">
        <f>'Pasture 2N'!C98</f>
        <v>46.791666666666664</v>
      </c>
      <c r="E106" s="106">
        <f>'Pasture 2SW'!C98</f>
        <v>51.800000000000004</v>
      </c>
      <c r="F106" s="106"/>
      <c r="G106" s="106"/>
      <c r="H106" s="106"/>
      <c r="I106" s="106">
        <f>'UA Cell A'!C98</f>
        <v>0</v>
      </c>
      <c r="J106" s="106">
        <f>'UA Cell B'!C98</f>
        <v>0</v>
      </c>
      <c r="K106" s="106">
        <f>'UA Cell C'!C98</f>
        <v>0</v>
      </c>
      <c r="L106" s="106">
        <f>'UA Cell D'!C98</f>
        <v>3.4166666666666665</v>
      </c>
      <c r="M106" s="106">
        <f>'UA Cell E'!C98</f>
        <v>1.5250000000000001</v>
      </c>
      <c r="N106" s="106">
        <f>'UA Cell F'!C98</f>
        <v>3.6666666666666665</v>
      </c>
      <c r="O106" s="106">
        <f>'UA Cell G'!C98</f>
        <v>1.4083333333333332</v>
      </c>
      <c r="P106" s="106">
        <f>'UA Cell H'!C98</f>
        <v>1.8083333333333333</v>
      </c>
      <c r="Q106" s="106">
        <f>'Pasture 3'!C92</f>
        <v>44.008333333333333</v>
      </c>
      <c r="R106" s="106">
        <f>'Pasture 4'!C98</f>
        <v>1.4916666666666665</v>
      </c>
      <c r="S106" s="106"/>
      <c r="T106" s="106">
        <f>'Pasture 5N'!C95</f>
        <v>10.233333333333333</v>
      </c>
      <c r="U106" s="106">
        <f>'Pasture 5Mid'!C95</f>
        <v>50.82500000000001</v>
      </c>
      <c r="V106" s="106">
        <f>'Pasture 5S'!C95</f>
        <v>51.92499999999999</v>
      </c>
      <c r="W106" s="106"/>
      <c r="X106" s="106">
        <f>'Pasture 6A'!C98</f>
        <v>17.983333333333334</v>
      </c>
      <c r="Y106" s="106">
        <f>'Pasture 6B'!C98</f>
        <v>19.108333333333334</v>
      </c>
      <c r="Z106" s="106">
        <f>'Pasture 6C'!C98</f>
        <v>0</v>
      </c>
      <c r="AA106" s="106">
        <f>'Pasture 6D'!C98</f>
        <v>24</v>
      </c>
      <c r="AB106" s="106">
        <f>'Pasture 6E'!C98</f>
        <v>20.591666666666665</v>
      </c>
      <c r="AC106" s="106">
        <f>'Pasture 8'!C99</f>
        <v>13.133333333333333</v>
      </c>
      <c r="AD106" s="106">
        <f>'Pasture 9'!C105</f>
        <v>0</v>
      </c>
      <c r="AE106" s="106">
        <f>'Pasture 10'!C105</f>
        <v>0</v>
      </c>
      <c r="AF106" s="106"/>
      <c r="AG106" s="106">
        <f>'Pasture 11A'!C92</f>
        <v>2.5666666666666669</v>
      </c>
      <c r="AH106" s="106">
        <f>'Pasture 11B'!C92</f>
        <v>0</v>
      </c>
      <c r="AI106" s="106">
        <f>'Pasture 11C'!C92</f>
        <v>0</v>
      </c>
      <c r="AJ106" s="106"/>
      <c r="AK106" s="106">
        <f>'Pasture 12A'!C89</f>
        <v>14.625</v>
      </c>
      <c r="AL106" s="106">
        <f>'Pasture 12B'!C89</f>
        <v>0</v>
      </c>
      <c r="AM106" s="106">
        <f>'Pasture 12C'!C89</f>
        <v>37.291666666666664</v>
      </c>
      <c r="AN106" s="106">
        <f>'Pasture 12D'!C89</f>
        <v>3.75</v>
      </c>
      <c r="AO106" s="106"/>
      <c r="AP106" s="106">
        <f>'Pasture 15'!C85</f>
        <v>0</v>
      </c>
      <c r="AQ106" s="106">
        <f>'Pasture 140'!C73</f>
        <v>3</v>
      </c>
      <c r="AS106" s="107">
        <f t="shared" ref="AS106:AS115" si="10">A106</f>
        <v>2011</v>
      </c>
      <c r="AT106" s="106">
        <f t="shared" si="6"/>
        <v>428.90833333333336</v>
      </c>
      <c r="AU106" s="108">
        <f>'Percent Area'!AT105</f>
        <v>19535.708999999999</v>
      </c>
      <c r="AV106" s="109">
        <f t="shared" si="7"/>
        <v>2.1955094301073657E-2</v>
      </c>
      <c r="AW106" s="110">
        <f t="shared" si="8"/>
        <v>8.8851049377068614E-3</v>
      </c>
      <c r="AX106" s="111">
        <f t="shared" si="9"/>
        <v>0.88851049377068614</v>
      </c>
    </row>
    <row r="107" spans="1:50" x14ac:dyDescent="0.3">
      <c r="A107" s="105">
        <v>2012</v>
      </c>
      <c r="B107" s="106">
        <f>'Pasture 1'!C107</f>
        <v>11.733333333333334</v>
      </c>
      <c r="C107" s="106"/>
      <c r="D107" s="106">
        <f>'Pasture 2N'!C99</f>
        <v>64.383333333333326</v>
      </c>
      <c r="E107" s="106">
        <f>'Pasture 2SW'!C99</f>
        <v>22.516666666666666</v>
      </c>
      <c r="F107" s="106"/>
      <c r="G107" s="106"/>
      <c r="H107" s="106"/>
      <c r="I107" s="106">
        <f>'UA Cell A'!C99</f>
        <v>0</v>
      </c>
      <c r="J107" s="106">
        <f>'UA Cell B'!C99</f>
        <v>0</v>
      </c>
      <c r="K107" s="106">
        <f>'UA Cell C'!C99</f>
        <v>0</v>
      </c>
      <c r="L107" s="106">
        <f>'UA Cell D'!C99</f>
        <v>4.2583333333333337</v>
      </c>
      <c r="M107" s="106">
        <f>'UA Cell E'!C99</f>
        <v>0.97499999999999998</v>
      </c>
      <c r="N107" s="106">
        <f>'UA Cell F'!C99</f>
        <v>4.2333333333333334</v>
      </c>
      <c r="O107" s="106">
        <f>'UA Cell G'!C99</f>
        <v>0</v>
      </c>
      <c r="P107" s="106">
        <f>'UA Cell H'!C99</f>
        <v>0</v>
      </c>
      <c r="Q107" s="106">
        <f>'Pasture 3'!C93</f>
        <v>60.925000000000004</v>
      </c>
      <c r="R107" s="106">
        <f>'Pasture 4'!C99</f>
        <v>11.091666666666667</v>
      </c>
      <c r="S107" s="106"/>
      <c r="T107" s="106">
        <f>'Pasture 5N'!C96</f>
        <v>18.991666666666667</v>
      </c>
      <c r="U107" s="106">
        <f>'Pasture 5Mid'!C96</f>
        <v>41.291666666666664</v>
      </c>
      <c r="V107" s="106">
        <f>'Pasture 5S'!C96</f>
        <v>38.5</v>
      </c>
      <c r="W107" s="106"/>
      <c r="X107" s="106">
        <f>'Pasture 6A'!C99</f>
        <v>26.891666666666666</v>
      </c>
      <c r="Y107" s="106">
        <f>'Pasture 6B'!C99</f>
        <v>18.599999999999998</v>
      </c>
      <c r="Z107" s="106">
        <f>'Pasture 6C'!C99</f>
        <v>0</v>
      </c>
      <c r="AA107" s="106">
        <f>'Pasture 6D'!C99</f>
        <v>0</v>
      </c>
      <c r="AB107" s="106">
        <f>'Pasture 6E'!C99</f>
        <v>20.066666666666666</v>
      </c>
      <c r="AC107" s="106">
        <f>'Pasture 8'!C100</f>
        <v>11.233333333333334</v>
      </c>
      <c r="AD107" s="106">
        <f>'Pasture 9'!C106</f>
        <v>0</v>
      </c>
      <c r="AE107" s="106">
        <f>'Pasture 10'!C106</f>
        <v>0</v>
      </c>
      <c r="AF107" s="106"/>
      <c r="AG107" s="106">
        <f>'Pasture 11A'!C93</f>
        <v>0.45</v>
      </c>
      <c r="AH107" s="106">
        <f>'Pasture 11B'!C93</f>
        <v>0</v>
      </c>
      <c r="AI107" s="106">
        <f>'Pasture 11C'!C93</f>
        <v>1.1666666666666667</v>
      </c>
      <c r="AJ107" s="106"/>
      <c r="AK107" s="106">
        <f>'Pasture 12A'!C90</f>
        <v>0</v>
      </c>
      <c r="AL107" s="106">
        <f>'Pasture 12B'!C90</f>
        <v>48.641666666666673</v>
      </c>
      <c r="AM107" s="106">
        <f>'Pasture 12C'!C90</f>
        <v>2</v>
      </c>
      <c r="AN107" s="106">
        <f>'Pasture 12D'!C90</f>
        <v>0</v>
      </c>
      <c r="AO107" s="106"/>
      <c r="AP107" s="106">
        <f>'Pasture 15'!C86</f>
        <v>0</v>
      </c>
      <c r="AQ107" s="106">
        <f>'Pasture 140'!C74</f>
        <v>4.1666666666666664E-2</v>
      </c>
      <c r="AS107" s="107">
        <f t="shared" si="10"/>
        <v>2012</v>
      </c>
      <c r="AT107" s="106">
        <f t="shared" si="6"/>
        <v>407.99166666666667</v>
      </c>
      <c r="AU107" s="108">
        <f>'Percent Area'!AT106</f>
        <v>19535.708999999999</v>
      </c>
      <c r="AV107" s="109">
        <f t="shared" si="7"/>
        <v>2.088440540687142E-2</v>
      </c>
      <c r="AW107" s="110">
        <f t="shared" si="8"/>
        <v>8.4518030784586883E-3</v>
      </c>
      <c r="AX107" s="111">
        <f t="shared" si="9"/>
        <v>0.84518030784586884</v>
      </c>
    </row>
    <row r="108" spans="1:50" x14ac:dyDescent="0.3">
      <c r="A108" s="105">
        <v>2013</v>
      </c>
      <c r="B108" s="106">
        <f>'Pasture 1'!C108</f>
        <v>11.858333333333334</v>
      </c>
      <c r="C108" s="106"/>
      <c r="D108" s="106">
        <f>'Pasture 2N'!C100</f>
        <v>45.80833333333333</v>
      </c>
      <c r="E108" s="106">
        <f>'Pasture 2SW'!C100</f>
        <v>28.7</v>
      </c>
      <c r="F108" s="106"/>
      <c r="G108" s="106"/>
      <c r="H108" s="106"/>
      <c r="I108" s="106">
        <f>'UA Cell A'!C100</f>
        <v>5.875</v>
      </c>
      <c r="J108" s="106">
        <f>'UA Cell B'!C100</f>
        <v>0</v>
      </c>
      <c r="K108" s="106">
        <f>'UA Cell C'!C100</f>
        <v>0</v>
      </c>
      <c r="L108" s="106">
        <f>'UA Cell D'!C100</f>
        <v>3.0500000000000003</v>
      </c>
      <c r="M108" s="106">
        <f>'UA Cell E'!C100</f>
        <v>0</v>
      </c>
      <c r="N108" s="106">
        <f>'UA Cell F'!C100</f>
        <v>4.8583333333333334</v>
      </c>
      <c r="O108" s="106">
        <f>'UA Cell G'!C100</f>
        <v>7.53</v>
      </c>
      <c r="P108" s="106">
        <f>'UA Cell H'!C100</f>
        <v>10.5</v>
      </c>
      <c r="Q108" s="106">
        <f>'Pasture 3'!C94</f>
        <v>43.4</v>
      </c>
      <c r="R108" s="106">
        <f>'Pasture 4'!C100</f>
        <v>9.9500000000000011</v>
      </c>
      <c r="S108" s="106"/>
      <c r="T108" s="106">
        <f>'Pasture 5N'!C97</f>
        <v>17.525000000000002</v>
      </c>
      <c r="U108" s="106">
        <f>'Pasture 5Mid'!C97</f>
        <v>13.683333333333332</v>
      </c>
      <c r="V108" s="106">
        <f>'Pasture 5S'!C97</f>
        <v>16.161666666666665</v>
      </c>
      <c r="W108" s="106"/>
      <c r="X108" s="106">
        <f>'Pasture 6A'!C100</f>
        <v>38.5</v>
      </c>
      <c r="Y108" s="106">
        <f>'Pasture 6B'!C100</f>
        <v>12.666666666666666</v>
      </c>
      <c r="Z108" s="106">
        <f>'Pasture 6C'!C100</f>
        <v>5.416666666666667</v>
      </c>
      <c r="AA108" s="106">
        <f>'Pasture 6D'!C100</f>
        <v>17.8</v>
      </c>
      <c r="AB108" s="106">
        <f>'Pasture 6E'!C100</f>
        <v>13.583333333333334</v>
      </c>
      <c r="AC108" s="106">
        <f>'Pasture 8'!C101</f>
        <v>2.8250000000000006</v>
      </c>
      <c r="AD108" s="106">
        <f>'Pasture 9'!C107</f>
        <v>0</v>
      </c>
      <c r="AE108" s="106">
        <f>'Pasture 10'!C107</f>
        <v>0</v>
      </c>
      <c r="AF108" s="106"/>
      <c r="AG108" s="106">
        <f>'Pasture 11A'!C94</f>
        <v>0.625</v>
      </c>
      <c r="AH108" s="106">
        <f>'Pasture 11B'!C94</f>
        <v>1.9000000000000001</v>
      </c>
      <c r="AI108" s="106">
        <f>'Pasture 11C'!C94</f>
        <v>1.8833333333333335</v>
      </c>
      <c r="AJ108" s="106"/>
      <c r="AK108" s="106">
        <f>'Pasture 12A'!C91</f>
        <v>28.858333333333334</v>
      </c>
      <c r="AL108" s="106">
        <f>'Pasture 12B'!C91</f>
        <v>36.266666666666673</v>
      </c>
      <c r="AM108" s="106">
        <f>'Pasture 12C'!C91</f>
        <v>44.375</v>
      </c>
      <c r="AN108" s="106">
        <f>'Pasture 12D'!C91</f>
        <v>0.10833333333333334</v>
      </c>
      <c r="AO108" s="106"/>
      <c r="AP108" s="106">
        <f>'Pasture 15'!C87</f>
        <v>19.650000000000002</v>
      </c>
      <c r="AQ108" s="106">
        <f>'Pasture 140'!C75</f>
        <v>0</v>
      </c>
      <c r="AS108" s="107">
        <f t="shared" si="10"/>
        <v>2013</v>
      </c>
      <c r="AT108" s="106">
        <f t="shared" si="6"/>
        <v>443.35833333333329</v>
      </c>
      <c r="AU108" s="108">
        <f>'Percent Area'!AT107</f>
        <v>19535.708999999999</v>
      </c>
      <c r="AV108" s="109">
        <f t="shared" si="7"/>
        <v>2.2694765433562372E-2</v>
      </c>
      <c r="AW108" s="110">
        <f t="shared" si="8"/>
        <v>9.1844457440559985E-3</v>
      </c>
      <c r="AX108" s="111">
        <f t="shared" si="9"/>
        <v>0.9184445744055999</v>
      </c>
    </row>
    <row r="109" spans="1:50" x14ac:dyDescent="0.3">
      <c r="A109" s="105">
        <v>2014</v>
      </c>
      <c r="B109" s="106">
        <f>'Pasture 1'!C109</f>
        <v>9.8250000000000011</v>
      </c>
      <c r="C109" s="106"/>
      <c r="D109" s="106">
        <f>'Pasture 2N'!C101</f>
        <v>38.016666666666673</v>
      </c>
      <c r="E109" s="106">
        <f>'Pasture 2SW'!C101</f>
        <v>10.566666666666668</v>
      </c>
      <c r="F109" s="106"/>
      <c r="G109" s="106"/>
      <c r="H109" s="106"/>
      <c r="I109" s="106">
        <f>'UA Cell A'!C101</f>
        <v>3.7166666666666668</v>
      </c>
      <c r="J109" s="106">
        <f>'UA Cell B'!C101</f>
        <v>0</v>
      </c>
      <c r="K109" s="106">
        <f>'UA Cell C'!C101</f>
        <v>3.3083333333333336</v>
      </c>
      <c r="L109" s="106">
        <f>'UA Cell D'!C101</f>
        <v>4</v>
      </c>
      <c r="M109" s="106">
        <f>'UA Cell E'!C101</f>
        <v>0</v>
      </c>
      <c r="N109" s="106">
        <f>'UA Cell F'!C101</f>
        <v>3.8833333333333333</v>
      </c>
      <c r="O109" s="106">
        <f>'UA Cell G'!C101</f>
        <v>0.68333333333333324</v>
      </c>
      <c r="P109" s="106">
        <f>'UA Cell H'!C101</f>
        <v>0</v>
      </c>
      <c r="Q109" s="106">
        <f>'Pasture 3'!C95</f>
        <v>20</v>
      </c>
      <c r="R109" s="106">
        <f>'Pasture 4'!C101</f>
        <v>7.0083333333333329</v>
      </c>
      <c r="S109" s="106"/>
      <c r="T109" s="106">
        <f>'Pasture 5N'!C98</f>
        <v>11.425000000000002</v>
      </c>
      <c r="U109" s="106">
        <f>'Pasture 5Mid'!C98</f>
        <v>28.246666666666666</v>
      </c>
      <c r="V109" s="106">
        <f>'Pasture 5S'!C98</f>
        <v>31.599999999999998</v>
      </c>
      <c r="W109" s="106"/>
      <c r="X109" s="106">
        <f>'Pasture 6A'!C101</f>
        <v>18.541666666666668</v>
      </c>
      <c r="Y109" s="106">
        <f>'Pasture 6B'!C101</f>
        <v>14.683333333333332</v>
      </c>
      <c r="Z109" s="106">
        <f>'Pasture 6C'!C101</f>
        <v>0</v>
      </c>
      <c r="AA109" s="106">
        <f>'Pasture 6D'!C101</f>
        <v>15.691666666666665</v>
      </c>
      <c r="AB109" s="106">
        <f>'Pasture 6E'!C101</f>
        <v>13.424999999999999</v>
      </c>
      <c r="AC109" s="106">
        <f>'Pasture 8'!C102</f>
        <v>3.8916666666666662</v>
      </c>
      <c r="AD109" s="106">
        <f>'Pasture 9'!C108</f>
        <v>0</v>
      </c>
      <c r="AE109" s="106">
        <f>'Pasture 10'!C108</f>
        <v>0</v>
      </c>
      <c r="AF109" s="106"/>
      <c r="AG109" s="106">
        <f>'Pasture 11A'!C95</f>
        <v>0.19999999999999998</v>
      </c>
      <c r="AH109" s="106">
        <f>'Pasture 11B'!C95</f>
        <v>3.5749999999999997</v>
      </c>
      <c r="AI109" s="106">
        <f>'Pasture 11C'!C95</f>
        <v>2.1083333333333334</v>
      </c>
      <c r="AJ109" s="106"/>
      <c r="AK109" s="106">
        <f>'Pasture 12A'!C92</f>
        <v>9.4166666666666661</v>
      </c>
      <c r="AL109" s="106">
        <f>'Pasture 12B'!C92</f>
        <v>18.774999999999999</v>
      </c>
      <c r="AM109" s="106">
        <f>'Pasture 12C'!C92</f>
        <v>37.858333333333327</v>
      </c>
      <c r="AN109" s="106">
        <f>'Pasture 12D'!C92</f>
        <v>1.4458333333333335</v>
      </c>
      <c r="AO109" s="106"/>
      <c r="AP109" s="106">
        <f>'Pasture 15'!C88</f>
        <v>15.491666666666667</v>
      </c>
      <c r="AQ109" s="106">
        <f>'Pasture 140'!C76</f>
        <v>0</v>
      </c>
      <c r="AS109" s="107">
        <f t="shared" si="10"/>
        <v>2014</v>
      </c>
      <c r="AT109" s="106">
        <f t="shared" si="6"/>
        <v>327.38416666666666</v>
      </c>
      <c r="AU109" s="108">
        <f>'Percent Area'!AT108</f>
        <v>19535.708999999999</v>
      </c>
      <c r="AV109" s="109">
        <f t="shared" si="7"/>
        <v>1.6758243412955561E-2</v>
      </c>
      <c r="AW109" s="110">
        <f t="shared" si="8"/>
        <v>6.7819681962588262E-3</v>
      </c>
      <c r="AX109" s="111">
        <f t="shared" si="9"/>
        <v>0.67819681962588263</v>
      </c>
    </row>
    <row r="110" spans="1:50" x14ac:dyDescent="0.3">
      <c r="A110" s="105">
        <v>2015</v>
      </c>
      <c r="B110" s="106">
        <f>'Pasture 1'!C110</f>
        <v>7.6499999999999995</v>
      </c>
      <c r="C110" s="106"/>
      <c r="D110" s="106">
        <f>'Pasture 2N'!C102</f>
        <v>56.416666666666657</v>
      </c>
      <c r="E110" s="106">
        <f>'Pasture 2SW'!C102</f>
        <v>0</v>
      </c>
      <c r="F110" s="106"/>
      <c r="G110" s="106"/>
      <c r="H110" s="106"/>
      <c r="I110" s="106">
        <f>'UA Cell A'!C102</f>
        <v>8.0166666666666657</v>
      </c>
      <c r="J110" s="106">
        <f>'UA Cell B'!C102</f>
        <v>0</v>
      </c>
      <c r="K110" s="106">
        <f>'UA Cell C'!C102</f>
        <v>2.1750000000000003</v>
      </c>
      <c r="L110" s="106">
        <f>'UA Cell D'!C102</f>
        <v>3.0666666666666664</v>
      </c>
      <c r="M110" s="106">
        <f>'UA Cell E'!C102</f>
        <v>0</v>
      </c>
      <c r="N110" s="106">
        <f>'UA Cell F'!C102</f>
        <v>2.6999999999999997</v>
      </c>
      <c r="O110" s="106">
        <f>'UA Cell G'!C102</f>
        <v>4.291666666666667</v>
      </c>
      <c r="P110" s="106">
        <f>'UA Cell H'!C102</f>
        <v>5.375</v>
      </c>
      <c r="Q110" s="106">
        <f>'Pasture 3'!C96</f>
        <v>32.625</v>
      </c>
      <c r="R110" s="106">
        <f>'Pasture 4'!C102</f>
        <v>12.108333333333334</v>
      </c>
      <c r="S110" s="106"/>
      <c r="T110" s="106">
        <f>'Pasture 5N'!C99</f>
        <v>12.833333333333334</v>
      </c>
      <c r="U110" s="106">
        <f>'Pasture 5Mid'!C99</f>
        <v>22.383333333333336</v>
      </c>
      <c r="V110" s="106">
        <f>'Pasture 5S'!C99</f>
        <v>37.774999999999999</v>
      </c>
      <c r="W110" s="106"/>
      <c r="X110" s="106">
        <f>'Pasture 6A'!C102</f>
        <v>42.466666666666669</v>
      </c>
      <c r="Y110" s="106">
        <f>'Pasture 6B'!C102</f>
        <v>16.324999999999999</v>
      </c>
      <c r="Z110" s="106">
        <f>'Pasture 6C'!C102</f>
        <v>0</v>
      </c>
      <c r="AA110" s="106">
        <f>'Pasture 6D'!C102</f>
        <v>15.433333333333332</v>
      </c>
      <c r="AB110" s="106">
        <f>'Pasture 6E'!C102</f>
        <v>8.2750000000000004</v>
      </c>
      <c r="AC110" s="106">
        <f>'Pasture 8'!C103</f>
        <v>11.800000000000002</v>
      </c>
      <c r="AD110" s="106">
        <f>'Pasture 9'!C109</f>
        <v>0</v>
      </c>
      <c r="AE110" s="106">
        <f>'Pasture 10'!C109</f>
        <v>0</v>
      </c>
      <c r="AF110" s="106"/>
      <c r="AG110" s="106">
        <f>'Pasture 11A'!C96</f>
        <v>5.8333333333333327E-2</v>
      </c>
      <c r="AH110" s="106">
        <f>'Pasture 11B'!C96</f>
        <v>2.5249999999999999</v>
      </c>
      <c r="AI110" s="106">
        <f>'Pasture 11C'!C96</f>
        <v>2.0583333333333331</v>
      </c>
      <c r="AJ110" s="106"/>
      <c r="AK110" s="106">
        <f>'Pasture 12A'!C93</f>
        <v>2.4999999999999998E-2</v>
      </c>
      <c r="AL110" s="106">
        <f>'Pasture 12B'!C93</f>
        <v>3.5833333333333335</v>
      </c>
      <c r="AM110" s="106">
        <f>'Pasture 12C'!C93</f>
        <v>4.1666666666666664E-2</v>
      </c>
      <c r="AN110" s="106">
        <f>'Pasture 12D'!C93</f>
        <v>0.38083333333333336</v>
      </c>
      <c r="AO110" s="106">
        <f>'Pasture 12E'!C93</f>
        <v>7.5916666666666659</v>
      </c>
      <c r="AP110" s="106">
        <f>'Pasture 15'!C89</f>
        <v>16.408333333333335</v>
      </c>
      <c r="AQ110" s="106">
        <f>'Pasture 140'!C77</f>
        <v>0</v>
      </c>
      <c r="AS110" s="107">
        <f t="shared" si="10"/>
        <v>2015</v>
      </c>
      <c r="AT110" s="106">
        <f t="shared" si="6"/>
        <v>334.38916666666665</v>
      </c>
      <c r="AU110" s="108">
        <f>'Percent Area'!AT109</f>
        <v>19535.669000000002</v>
      </c>
      <c r="AV110" s="109">
        <f t="shared" si="7"/>
        <v>1.711685259750596E-2</v>
      </c>
      <c r="AW110" s="110">
        <f t="shared" si="8"/>
        <v>6.927095345004435E-3</v>
      </c>
      <c r="AX110" s="111">
        <f t="shared" si="9"/>
        <v>0.69270953450044348</v>
      </c>
    </row>
    <row r="111" spans="1:50" x14ac:dyDescent="0.3">
      <c r="A111" s="105">
        <v>2016</v>
      </c>
      <c r="B111" s="106">
        <f>'Pasture 1'!C111</f>
        <v>7.9866666666666655</v>
      </c>
      <c r="C111" s="106"/>
      <c r="D111" s="106">
        <f>'Pasture 2N'!C103</f>
        <v>67.733333333333334</v>
      </c>
      <c r="E111" s="106">
        <f>'Pasture 2SW'!C103</f>
        <v>11.598916666666668</v>
      </c>
      <c r="F111" s="106"/>
      <c r="G111" s="106"/>
      <c r="H111" s="106"/>
      <c r="I111" s="106">
        <f>'UA Cell A'!C103</f>
        <v>4.7833333333333332</v>
      </c>
      <c r="J111" s="106">
        <f>'UA Cell B'!C103</f>
        <v>0</v>
      </c>
      <c r="K111" s="106">
        <f>'UA Cell C'!C103</f>
        <v>6.9950000000000001</v>
      </c>
      <c r="L111" s="106">
        <f>'UA Cell D'!C103</f>
        <v>5.974166666666668</v>
      </c>
      <c r="M111" s="106">
        <f>'UA Cell E'!C103</f>
        <v>0</v>
      </c>
      <c r="N111" s="106">
        <f>'UA Cell F'!C103</f>
        <v>4.2458333333333327</v>
      </c>
      <c r="O111" s="106">
        <f>'UA Cell G'!C103</f>
        <v>2.2050000000000001</v>
      </c>
      <c r="P111" s="106">
        <f>'UA Cell H'!C103</f>
        <v>2.2041666666666666</v>
      </c>
      <c r="Q111" s="106">
        <f>'Pasture 3'!C97</f>
        <v>38.180833333333332</v>
      </c>
      <c r="R111" s="106">
        <f>'Pasture 4'!C103</f>
        <v>12</v>
      </c>
      <c r="S111" s="106"/>
      <c r="T111" s="106">
        <f>'Pasture 5N'!C100</f>
        <v>16.166666666666668</v>
      </c>
      <c r="U111" s="106">
        <f>'Pasture 5Mid'!C100</f>
        <v>29.5</v>
      </c>
      <c r="V111" s="106">
        <f>'Pasture 5S'!C100</f>
        <v>41.708333333333336</v>
      </c>
      <c r="W111" s="106"/>
      <c r="X111" s="106">
        <f>'Pasture 6A'!C103</f>
        <v>5.5249999999999995</v>
      </c>
      <c r="Y111" s="106">
        <f>'Pasture 6B'!C103</f>
        <v>15.808333333333332</v>
      </c>
      <c r="Z111" s="106">
        <f>'Pasture 6C'!C103</f>
        <v>0</v>
      </c>
      <c r="AA111" s="106">
        <f>'Pasture 6D'!C103</f>
        <v>32.866666666666667</v>
      </c>
      <c r="AB111" s="106">
        <f>'Pasture 6E'!C103</f>
        <v>0</v>
      </c>
      <c r="AC111" s="106">
        <f>'Pasture 8'!C104</f>
        <v>10.233333333333333</v>
      </c>
      <c r="AD111" s="106">
        <f>'Pasture 9'!C110</f>
        <v>0</v>
      </c>
      <c r="AE111" s="106">
        <f>'Pasture 10'!C110</f>
        <v>0</v>
      </c>
      <c r="AF111" s="106"/>
      <c r="AG111" s="106">
        <f>'Pasture 11A'!C97</f>
        <v>0</v>
      </c>
      <c r="AH111" s="106">
        <f>'Pasture 11B'!C97</f>
        <v>0.22750000000000001</v>
      </c>
      <c r="AI111" s="106">
        <f>'Pasture 11C'!C97</f>
        <v>1.9583333333333333</v>
      </c>
      <c r="AJ111" s="106"/>
      <c r="AK111" s="106">
        <f>'Pasture 12A'!C94</f>
        <v>7.5375000000000005</v>
      </c>
      <c r="AL111" s="106">
        <f>'Pasture 12B'!C94</f>
        <v>10.316666666666666</v>
      </c>
      <c r="AM111" s="106">
        <f>'Pasture 12C'!C94</f>
        <v>15.976666666666667</v>
      </c>
      <c r="AN111" s="106">
        <f>'Pasture 12D'!C94</f>
        <v>0.3</v>
      </c>
      <c r="AO111" s="106">
        <f>'Pasture 12E'!C94</f>
        <v>21.025000000000002</v>
      </c>
      <c r="AP111" s="106">
        <f>'Pasture 15'!C90</f>
        <v>6.708333333333333</v>
      </c>
      <c r="AQ111" s="106">
        <f>'Pasture 140'!C78</f>
        <v>0</v>
      </c>
      <c r="AS111" s="107">
        <f t="shared" si="10"/>
        <v>2016</v>
      </c>
      <c r="AT111" s="106">
        <f t="shared" si="6"/>
        <v>379.76558333333338</v>
      </c>
      <c r="AU111" s="108">
        <f>'Percent Area'!AT110</f>
        <v>19535.669000000002</v>
      </c>
      <c r="AV111" s="109">
        <f t="shared" si="7"/>
        <v>1.9439599602825649E-2</v>
      </c>
      <c r="AW111" s="110">
        <f t="shared" si="8"/>
        <v>7.8670981800184735E-3</v>
      </c>
      <c r="AX111" s="111">
        <f t="shared" si="9"/>
        <v>0.78670981800184736</v>
      </c>
    </row>
    <row r="112" spans="1:50" x14ac:dyDescent="0.3">
      <c r="A112" s="105">
        <v>2017</v>
      </c>
      <c r="B112" s="106">
        <f>'Pasture 1'!C112</f>
        <v>3.6666666666666665</v>
      </c>
      <c r="C112" s="106"/>
      <c r="D112" s="106">
        <f>'Pasture 2N'!C104</f>
        <v>21.408000000000001</v>
      </c>
      <c r="E112" s="106">
        <f>'Pasture 2SW'!C104</f>
        <v>11.521416666666665</v>
      </c>
      <c r="F112" s="106"/>
      <c r="G112" s="106"/>
      <c r="H112" s="106"/>
      <c r="I112" s="106">
        <f>'UA Cell A'!C104</f>
        <v>0.68541666666666667</v>
      </c>
      <c r="J112" s="106">
        <f>'UA Cell B'!C104</f>
        <v>0</v>
      </c>
      <c r="K112" s="106">
        <f>'UA Cell C'!C104</f>
        <v>1.1425000000000001</v>
      </c>
      <c r="L112" s="106">
        <f>'UA Cell D'!C104</f>
        <v>2.0560833333333335</v>
      </c>
      <c r="M112" s="106">
        <f>'UA Cell E'!C104</f>
        <v>0</v>
      </c>
      <c r="N112" s="106">
        <f>'UA Cell F'!C104</f>
        <v>2.5966666666666667</v>
      </c>
      <c r="O112" s="106">
        <f>'UA Cell G'!C104</f>
        <v>2.7641666666666667</v>
      </c>
      <c r="P112" s="106">
        <f>'UA Cell H'!C104</f>
        <v>2.2849166666666667</v>
      </c>
      <c r="Q112" s="106">
        <f>'Pasture 3'!C98</f>
        <v>25.671166666666668</v>
      </c>
      <c r="R112" s="106">
        <f>'Pasture 4'!C104</f>
        <v>15.21475</v>
      </c>
      <c r="S112" s="106"/>
      <c r="T112" s="106">
        <f>'Pasture 5N'!C101</f>
        <v>20.445833333333336</v>
      </c>
      <c r="U112" s="106">
        <f>'Pasture 5Mid'!C101</f>
        <v>27.605500000000003</v>
      </c>
      <c r="V112" s="106">
        <f>'Pasture 5S'!C101</f>
        <v>43.593666666666671</v>
      </c>
      <c r="W112" s="106"/>
      <c r="X112" s="106">
        <f>'Pasture 6A'!C104</f>
        <v>27.480833333333333</v>
      </c>
      <c r="Y112" s="106">
        <f>'Pasture 6B'!C104</f>
        <v>18.599999999999998</v>
      </c>
      <c r="Z112" s="106">
        <f>'Pasture 6C'!C104</f>
        <v>1.375</v>
      </c>
      <c r="AA112" s="106">
        <f>'Pasture 6D'!C104</f>
        <v>21.401666666666667</v>
      </c>
      <c r="AB112" s="106">
        <f>'Pasture 6E'!C104</f>
        <v>25.889166666666668</v>
      </c>
      <c r="AC112" s="106">
        <f>'Pasture 8'!C105</f>
        <v>17.228083333333334</v>
      </c>
      <c r="AD112" s="106">
        <f>'Pasture 9'!C111</f>
        <v>0</v>
      </c>
      <c r="AE112" s="106">
        <f>'Pasture 10'!C111</f>
        <v>0</v>
      </c>
      <c r="AF112" s="106"/>
      <c r="AG112" s="106">
        <f>'Pasture 11A'!C98</f>
        <v>0.129</v>
      </c>
      <c r="AH112" s="106">
        <f>'Pasture 11B'!C98</f>
        <v>2.6558333333333333</v>
      </c>
      <c r="AI112" s="106">
        <f>'Pasture 11C'!C98</f>
        <v>1.7633333333333334</v>
      </c>
      <c r="AJ112" s="106"/>
      <c r="AK112" s="106">
        <f>'Pasture 12A'!C95</f>
        <v>3.5500000000000003</v>
      </c>
      <c r="AL112" s="106">
        <f>'Pasture 12B'!C95</f>
        <v>14.346666666666669</v>
      </c>
      <c r="AM112" s="106">
        <f>'Pasture 12C'!C95</f>
        <v>15.294166666666667</v>
      </c>
      <c r="AN112" s="106">
        <f>'Pasture 12D'!C95</f>
        <v>0</v>
      </c>
      <c r="AO112" s="106">
        <f>'Pasture 12E'!C95</f>
        <v>13.015833333333333</v>
      </c>
      <c r="AP112" s="106">
        <f>'Pasture 15'!C91</f>
        <v>33.053249999999998</v>
      </c>
      <c r="AQ112" s="106">
        <f>'Pasture 140'!C79</f>
        <v>0</v>
      </c>
      <c r="AS112" s="107">
        <f t="shared" si="10"/>
        <v>2017</v>
      </c>
      <c r="AT112" s="106">
        <f t="shared" si="6"/>
        <v>376.43958333333336</v>
      </c>
      <c r="AU112" s="108">
        <f>'Percent Area'!AT111</f>
        <v>19535.669000000002</v>
      </c>
      <c r="AV112" s="109">
        <f>AT112/AU112</f>
        <v>1.9269346922971171E-2</v>
      </c>
      <c r="AW112" s="110">
        <f>AV112/2.471</f>
        <v>7.7981978644156907E-3</v>
      </c>
      <c r="AX112" s="111">
        <f>AW112*100</f>
        <v>0.77981978644156902</v>
      </c>
    </row>
    <row r="113" spans="1:50" x14ac:dyDescent="0.3">
      <c r="A113" s="105">
        <v>2018</v>
      </c>
      <c r="B113" s="106">
        <f>'Pasture 1'!C113</f>
        <v>9.15</v>
      </c>
      <c r="C113" s="106"/>
      <c r="D113" s="106">
        <f>'Pasture 2N'!C105</f>
        <v>33.06666666666667</v>
      </c>
      <c r="E113" s="106">
        <f>'Pasture 2SW'!C105</f>
        <v>13.1</v>
      </c>
      <c r="F113" s="106"/>
      <c r="G113" s="106"/>
      <c r="H113" s="106"/>
      <c r="I113" s="106">
        <f>'UA Cell A'!C105</f>
        <v>2.6</v>
      </c>
      <c r="J113" s="106">
        <f>'UA Cell B'!C105</f>
        <v>0</v>
      </c>
      <c r="K113" s="106">
        <f>'UA Cell C'!C105</f>
        <v>4.6083333333333334</v>
      </c>
      <c r="L113" s="106">
        <f>'UA Cell D'!C105</f>
        <v>4.5750000000000002</v>
      </c>
      <c r="M113" s="106">
        <f>'UA Cell E'!C105</f>
        <v>0</v>
      </c>
      <c r="N113" s="106">
        <f>'UA Cell F'!C105</f>
        <v>2.2833333333333332</v>
      </c>
      <c r="O113" s="106">
        <f>'UA Cell G'!C105</f>
        <v>2.7416666666666667</v>
      </c>
      <c r="P113" s="106">
        <f>'UA Cell H'!C105</f>
        <v>2.7916666666666665</v>
      </c>
      <c r="Q113" s="106">
        <f>'Pasture 3'!C99</f>
        <v>4.2166666666666659</v>
      </c>
      <c r="R113" s="106">
        <f>'Pasture 4'!C105</f>
        <v>13.25</v>
      </c>
      <c r="S113" s="106"/>
      <c r="T113" s="106">
        <f>'Pasture 5N'!C102</f>
        <v>16.033333333333335</v>
      </c>
      <c r="U113" s="106">
        <f>'Pasture 5Mid'!C102</f>
        <v>20.349999999999998</v>
      </c>
      <c r="V113" s="106">
        <f>'Pasture 5S'!C102</f>
        <v>24.224999999999998</v>
      </c>
      <c r="W113" s="106"/>
      <c r="X113" s="106">
        <f>'Pasture 6A'!C105</f>
        <v>29.883333333333336</v>
      </c>
      <c r="Y113" s="106">
        <f>'Pasture 6B'!C105</f>
        <v>16.216666666666665</v>
      </c>
      <c r="Z113" s="106">
        <f>'Pasture 6C'!C105</f>
        <v>4.8333333333333332E-2</v>
      </c>
      <c r="AA113" s="106">
        <f>'Pasture 6D'!C105</f>
        <v>22.508333333333329</v>
      </c>
      <c r="AB113" s="106">
        <f>'Pasture 6E'!C105</f>
        <v>17.191666666666666</v>
      </c>
      <c r="AC113" s="106">
        <f>'Pasture 8'!C106</f>
        <v>11.375</v>
      </c>
      <c r="AD113" s="106">
        <f>'Pasture 9'!C112</f>
        <v>0</v>
      </c>
      <c r="AE113" s="106">
        <f>'Pasture 10'!C112</f>
        <v>0</v>
      </c>
      <c r="AF113" s="106"/>
      <c r="AG113" s="106">
        <f>'Pasture 11A'!C99</f>
        <v>0.17500000000000002</v>
      </c>
      <c r="AH113" s="106">
        <f>'Pasture 11B'!C99</f>
        <v>2.5833333333333335</v>
      </c>
      <c r="AI113" s="106">
        <f>'Pasture 11C'!C99</f>
        <v>5.0249999999999995</v>
      </c>
      <c r="AJ113" s="106"/>
      <c r="AK113" s="106">
        <f>'Pasture 12A'!C96</f>
        <v>5.6416666666666666</v>
      </c>
      <c r="AL113" s="106">
        <f>'Pasture 12B'!C96</f>
        <v>6.7583333333333329</v>
      </c>
      <c r="AM113" s="106">
        <f>'Pasture 12C'!C96</f>
        <v>32.783333333333339</v>
      </c>
      <c r="AN113" s="106">
        <f>'Pasture 12D'!C96</f>
        <v>0</v>
      </c>
      <c r="AO113" s="106">
        <f>'Pasture 12E'!C96</f>
        <v>10.016666666666667</v>
      </c>
      <c r="AP113" s="106">
        <f>'Pasture 15'!C92</f>
        <v>32.363333333333337</v>
      </c>
      <c r="AQ113" s="106">
        <f>'Pasture 140'!C80</f>
        <v>0</v>
      </c>
      <c r="AS113" s="107">
        <f t="shared" si="10"/>
        <v>2018</v>
      </c>
      <c r="AT113" s="106">
        <f t="shared" si="6"/>
        <v>345.56166666666667</v>
      </c>
      <c r="AU113" s="108">
        <f>'Percent Area'!AT112</f>
        <v>19535.669000000002</v>
      </c>
      <c r="AV113" s="109">
        <f t="shared" ref="AV113:AV114" si="11">AT113/AU113</f>
        <v>1.7688755202940151E-2</v>
      </c>
      <c r="AW113" s="110">
        <f t="shared" ref="AW113:AW115" si="12">AV113/2.471</f>
        <v>7.1585411586160058E-3</v>
      </c>
      <c r="AX113" s="111">
        <f t="shared" ref="AX113:AX115" si="13">AW113*100</f>
        <v>0.71585411586160053</v>
      </c>
    </row>
    <row r="114" spans="1:50" x14ac:dyDescent="0.3">
      <c r="A114" s="105">
        <v>2019</v>
      </c>
      <c r="B114" s="106">
        <f>'Pasture 1'!C114</f>
        <v>8.4749999999999996</v>
      </c>
      <c r="C114" s="106"/>
      <c r="D114" s="106">
        <f>'Pasture 2N'!C106</f>
        <v>86.883333333333326</v>
      </c>
      <c r="E114" s="106">
        <f>'Pasture 2SW'!C106</f>
        <v>9.4833333333333325</v>
      </c>
      <c r="F114" s="106"/>
      <c r="G114" s="106"/>
      <c r="H114" s="106"/>
      <c r="I114" s="106">
        <f>'UA Cell A'!C106</f>
        <v>2.5833333333333335</v>
      </c>
      <c r="J114" s="106">
        <f>'UA Cell B'!C106</f>
        <v>0</v>
      </c>
      <c r="K114" s="106">
        <f>'UA Cell C'!C106</f>
        <v>3.3333333333333335</v>
      </c>
      <c r="L114" s="106">
        <f>'UA Cell D'!C106</f>
        <v>2.6333333333333333</v>
      </c>
      <c r="M114" s="106">
        <f>'UA Cell E'!C106</f>
        <v>1.1083333333333334</v>
      </c>
      <c r="N114" s="106">
        <f>'UA Cell F'!C106</f>
        <v>4.0916666666666668</v>
      </c>
      <c r="O114" s="106">
        <f>'UA Cell G'!C106</f>
        <v>3.0666666666666664</v>
      </c>
      <c r="P114" s="106">
        <f>'UA Cell H'!C106</f>
        <v>4.083333333333333</v>
      </c>
      <c r="Q114" s="106">
        <f>'Pasture 3'!C100</f>
        <v>10.775</v>
      </c>
      <c r="R114" s="106">
        <f>'Pasture 4'!C106</f>
        <v>14.5</v>
      </c>
      <c r="S114" s="106"/>
      <c r="T114" s="106">
        <f>'Pasture 5N'!C103</f>
        <v>0</v>
      </c>
      <c r="U114" s="106">
        <f>'Pasture 5Mid'!C103</f>
        <v>23.666666666666668</v>
      </c>
      <c r="V114" s="106">
        <f>'Pasture 5S'!C103</f>
        <v>24.916666666666668</v>
      </c>
      <c r="W114" s="106"/>
      <c r="X114" s="106">
        <f>'Pasture 6A'!C106</f>
        <v>25.833333333333332</v>
      </c>
      <c r="Y114" s="106">
        <f>'Pasture 6B'!C106</f>
        <v>17.233333333333334</v>
      </c>
      <c r="Z114" s="106">
        <f>'Pasture 6C'!C106</f>
        <v>4.7333333333333334</v>
      </c>
      <c r="AA114" s="106">
        <f>'Pasture 6D'!C106</f>
        <v>34.091666666666669</v>
      </c>
      <c r="AB114" s="106">
        <f>'Pasture 6E'!C106</f>
        <v>16.28833333333333</v>
      </c>
      <c r="AC114" s="106">
        <f>'Pasture 8'!C107</f>
        <v>3.5625</v>
      </c>
      <c r="AD114" s="106">
        <f>'Pasture 9'!C113</f>
        <v>0</v>
      </c>
      <c r="AE114" s="106">
        <f>'Pasture 10'!C113</f>
        <v>0</v>
      </c>
      <c r="AF114" s="106"/>
      <c r="AG114" s="106">
        <f>'Pasture 11A'!C100</f>
        <v>0</v>
      </c>
      <c r="AH114" s="106">
        <f>'Pasture 11B'!C100</f>
        <v>1.2916666666666667</v>
      </c>
      <c r="AI114" s="106">
        <f>'Pasture 11C'!C100</f>
        <v>2.8583333333333329</v>
      </c>
      <c r="AJ114" s="106"/>
      <c r="AK114" s="106">
        <f>'Pasture 12A'!C97</f>
        <v>5.333333333333333</v>
      </c>
      <c r="AL114" s="106">
        <f>'Pasture 12B'!C97</f>
        <v>11.799999999999999</v>
      </c>
      <c r="AM114" s="106">
        <f>'Pasture 12C'!C97</f>
        <v>23.25</v>
      </c>
      <c r="AN114" s="106">
        <f>'Pasture 12D'!C97</f>
        <v>0</v>
      </c>
      <c r="AO114" s="106">
        <f>'Pasture 12E'!C97</f>
        <v>9.375</v>
      </c>
      <c r="AP114" s="106">
        <f>'Pasture 15'!C93</f>
        <v>27.416666666666668</v>
      </c>
      <c r="AQ114" s="106">
        <f>'Pasture 140'!C81</f>
        <v>0</v>
      </c>
      <c r="AS114" s="107">
        <f t="shared" si="10"/>
        <v>2019</v>
      </c>
      <c r="AT114" s="106">
        <f t="shared" si="6"/>
        <v>382.66750000000002</v>
      </c>
      <c r="AU114" s="108">
        <f>'Percent Area'!AT113</f>
        <v>19535.669000000002</v>
      </c>
      <c r="AV114" s="109">
        <f t="shared" si="11"/>
        <v>1.9588144127544338E-2</v>
      </c>
      <c r="AW114" s="110">
        <f t="shared" si="12"/>
        <v>7.9272133255946335E-3</v>
      </c>
      <c r="AX114" s="111">
        <f t="shared" si="13"/>
        <v>0.79272133255946331</v>
      </c>
    </row>
    <row r="115" spans="1:50" x14ac:dyDescent="0.3">
      <c r="A115" s="105">
        <v>2020</v>
      </c>
      <c r="B115" s="106">
        <f>'Pasture 1'!C115</f>
        <v>7.3275000000000006</v>
      </c>
      <c r="C115" s="106"/>
      <c r="D115" s="106">
        <f>'Pasture 2N'!C107</f>
        <v>19.925000000000001</v>
      </c>
      <c r="E115" s="106">
        <f>'Pasture 2SW'!C107</f>
        <v>11.450000000000001</v>
      </c>
      <c r="F115" s="106"/>
      <c r="G115" s="106"/>
      <c r="H115" s="106"/>
      <c r="I115" s="106">
        <f>'UA Cell A'!C107</f>
        <v>2.6916666666666664</v>
      </c>
      <c r="J115" s="106">
        <f>'UA Cell B'!C107</f>
        <v>0</v>
      </c>
      <c r="K115" s="106">
        <f>'UA Cell C'!C107</f>
        <v>4.2024999999999997</v>
      </c>
      <c r="L115" s="106">
        <f>'UA Cell D'!C107</f>
        <v>2.5666666666666669</v>
      </c>
      <c r="M115" s="106">
        <f>'UA Cell E'!C107</f>
        <v>1.4558333333333333</v>
      </c>
      <c r="N115" s="106">
        <f>'UA Cell F'!C107</f>
        <v>2.1225000000000001</v>
      </c>
      <c r="O115" s="106">
        <f>'UA Cell G'!C107</f>
        <v>2.2749999999999999</v>
      </c>
      <c r="P115" s="106">
        <f>'UA Cell H'!C107</f>
        <v>2.2749999999999999</v>
      </c>
      <c r="Q115" s="106">
        <f>'Pasture 3'!C101</f>
        <v>13.983333333333334</v>
      </c>
      <c r="R115" s="106">
        <f>'Pasture 4'!C107</f>
        <v>13.550000000000002</v>
      </c>
      <c r="S115" s="106"/>
      <c r="T115" s="106">
        <f>'Pasture 5N'!C104</f>
        <v>21.216666666666669</v>
      </c>
      <c r="U115" s="106">
        <f>'Pasture 5Mid'!C104</f>
        <v>8.3416666666666668</v>
      </c>
      <c r="V115" s="106">
        <f>'Pasture 5S'!C104</f>
        <v>23.219166666666666</v>
      </c>
      <c r="W115" s="106"/>
      <c r="X115" s="106">
        <f>'Pasture 6A'!C107</f>
        <v>55.541666666666657</v>
      </c>
      <c r="Y115" s="106">
        <f>'Pasture 6B'!C107</f>
        <v>19.45</v>
      </c>
      <c r="Z115" s="106">
        <f>'Pasture 6C'!C107</f>
        <v>0</v>
      </c>
      <c r="AA115" s="106">
        <f>'Pasture 6D'!C107</f>
        <v>34.716666666666669</v>
      </c>
      <c r="AB115" s="106">
        <f>'Pasture 6E'!C107</f>
        <v>18.428333333333331</v>
      </c>
      <c r="AC115" s="106">
        <f>'Pasture 8'!C108</f>
        <v>12.424999999999999</v>
      </c>
      <c r="AD115" s="106">
        <f>'Pasture 9'!C114</f>
        <v>0</v>
      </c>
      <c r="AE115" s="106">
        <f>'Pasture 10'!C114</f>
        <v>0</v>
      </c>
      <c r="AF115" s="106"/>
      <c r="AG115" s="106">
        <f>'Pasture 11A'!C101</f>
        <v>0</v>
      </c>
      <c r="AH115" s="106">
        <f>'Pasture 11B'!C101</f>
        <v>1.2416666666666667</v>
      </c>
      <c r="AI115" s="106">
        <f>'Pasture 11C'!C101</f>
        <v>1.55</v>
      </c>
      <c r="AJ115" s="106"/>
      <c r="AK115" s="106">
        <f>'Pasture 12A'!C98</f>
        <v>7.291666666666667</v>
      </c>
      <c r="AL115" s="106">
        <f>'Pasture 12B'!C98</f>
        <v>5.25</v>
      </c>
      <c r="AM115" s="106">
        <f>'Pasture 12C'!C98</f>
        <v>12.708333333333334</v>
      </c>
      <c r="AN115" s="106">
        <f>'Pasture 12D'!C98</f>
        <v>0</v>
      </c>
      <c r="AO115" s="106">
        <f>'Pasture 12E'!C98</f>
        <v>5.0750000000000002</v>
      </c>
      <c r="AP115" s="106">
        <f>'Pasture 15'!C94</f>
        <v>32.074999999999996</v>
      </c>
      <c r="AQ115" s="106">
        <f>'Pasture 140'!C82</f>
        <v>0</v>
      </c>
      <c r="AS115" s="107">
        <f t="shared" si="10"/>
        <v>2020</v>
      </c>
      <c r="AT115" s="106">
        <f t="shared" ref="AT115:AT120" si="14">SUM(B115:AQ115)</f>
        <v>342.35583333333335</v>
      </c>
      <c r="AU115" s="108">
        <f>'Percent Area'!AT114</f>
        <v>19535.669000000002</v>
      </c>
      <c r="AV115" s="109">
        <f t="shared" ref="AV115:AV120" si="15">AT115/AU115</f>
        <v>1.7524653664705996E-2</v>
      </c>
      <c r="AW115" s="110">
        <f t="shared" si="12"/>
        <v>7.0921301759231063E-3</v>
      </c>
      <c r="AX115" s="111">
        <f t="shared" si="13"/>
        <v>0.70921301759231059</v>
      </c>
    </row>
    <row r="116" spans="1:50" x14ac:dyDescent="0.3">
      <c r="A116" s="105">
        <v>2021</v>
      </c>
      <c r="B116" s="106">
        <f>'Pasture 1'!C116</f>
        <v>10.808333333333332</v>
      </c>
      <c r="C116" s="106"/>
      <c r="D116" s="106">
        <f>'Pasture 2N'!C108</f>
        <v>40.358333333333334</v>
      </c>
      <c r="E116" s="106">
        <f>'Pasture 2SW'!C108</f>
        <v>17.658333333333331</v>
      </c>
      <c r="F116" s="106"/>
      <c r="G116" s="106"/>
      <c r="H116" s="106"/>
      <c r="I116" s="106">
        <f>'UA Cell A'!C108</f>
        <v>2.375</v>
      </c>
      <c r="J116" s="106">
        <f>'UA Cell B'!C108</f>
        <v>0</v>
      </c>
      <c r="K116" s="106">
        <f>'UA Cell C'!C108</f>
        <v>2.8916666666666671</v>
      </c>
      <c r="L116" s="106">
        <f>'UA Cell D'!C108</f>
        <v>2.8083333333333336</v>
      </c>
      <c r="M116" s="106">
        <f>'UA Cell E'!C108</f>
        <v>1.3833333333333335</v>
      </c>
      <c r="N116" s="106">
        <f>'UA Cell F'!C108</f>
        <v>0</v>
      </c>
      <c r="O116" s="106">
        <f>'UA Cell G'!C108</f>
        <v>2.6416666666666666</v>
      </c>
      <c r="P116" s="106">
        <f>'UA Cell H'!C108</f>
        <v>2.5916666666666668</v>
      </c>
      <c r="Q116" s="106">
        <f>'Pasture 3'!C102</f>
        <v>26.933333333333334</v>
      </c>
      <c r="R116" s="106">
        <f>'Pasture 4'!C108</f>
        <v>9.1</v>
      </c>
      <c r="S116" s="106"/>
      <c r="T116" s="106">
        <f>'Pasture 5N'!C105</f>
        <v>0</v>
      </c>
      <c r="U116" s="106">
        <f>'Pasture 5Mid'!C105</f>
        <v>37.916666666666664</v>
      </c>
      <c r="V116" s="106">
        <f>'Pasture 5S'!C105</f>
        <v>32.65</v>
      </c>
      <c r="W116" s="106"/>
      <c r="X116" s="106">
        <f>'Pasture 6A'!C108</f>
        <v>49.666666666666664</v>
      </c>
      <c r="Y116" s="106">
        <f>'Pasture 6B'!C108</f>
        <v>17.224999999999998</v>
      </c>
      <c r="Z116" s="106">
        <f>'Pasture 6C'!C108</f>
        <v>0</v>
      </c>
      <c r="AA116" s="106">
        <f>'Pasture 6D'!C108</f>
        <v>5.6416666666666666</v>
      </c>
      <c r="AB116" s="106">
        <f>'Pasture 6E'!C108</f>
        <v>21.574999999999999</v>
      </c>
      <c r="AC116" s="106">
        <f>'Pasture 8'!C109</f>
        <v>10.966666666666667</v>
      </c>
      <c r="AD116" s="106">
        <f>'Pasture 9'!C115</f>
        <v>0</v>
      </c>
      <c r="AE116" s="106">
        <f>'Pasture 10'!C115</f>
        <v>0</v>
      </c>
      <c r="AF116" s="106"/>
      <c r="AG116" s="106">
        <f>'Pasture 11A'!C102</f>
        <v>0</v>
      </c>
      <c r="AH116" s="106">
        <f>'Pasture 11B'!C102</f>
        <v>0.91666666666666663</v>
      </c>
      <c r="AI116" s="106">
        <f>'Pasture 11C'!C102</f>
        <v>1.5</v>
      </c>
      <c r="AJ116" s="106"/>
      <c r="AK116" s="106">
        <f>'Pasture 12A'!C99</f>
        <v>0</v>
      </c>
      <c r="AL116" s="106">
        <f>'Pasture 12B'!C99</f>
        <v>0</v>
      </c>
      <c r="AM116" s="106">
        <f>'Pasture 12C'!C99</f>
        <v>0</v>
      </c>
      <c r="AN116" s="106">
        <f>'Pasture 12D'!C99</f>
        <v>0</v>
      </c>
      <c r="AO116" s="106">
        <f>'Pasture 12E'!C99</f>
        <v>0</v>
      </c>
      <c r="AP116" s="106">
        <f>'Pasture 15'!C95</f>
        <v>12.891666666666666</v>
      </c>
      <c r="AQ116" s="106">
        <f>'Pasture 140'!C83</f>
        <v>0</v>
      </c>
      <c r="AS116" s="107">
        <f t="shared" ref="AS116:AS117" si="16">A116</f>
        <v>2021</v>
      </c>
      <c r="AT116" s="106">
        <f t="shared" si="14"/>
        <v>310.49999999999994</v>
      </c>
      <c r="AU116" s="108">
        <f>'Percent Area'!AT115</f>
        <v>19535.669000000002</v>
      </c>
      <c r="AV116" s="109">
        <f t="shared" si="15"/>
        <v>1.5894003937106015E-2</v>
      </c>
      <c r="AW116" s="110">
        <f>AV116/2.471</f>
        <v>6.4322152719975779E-3</v>
      </c>
      <c r="AX116" s="111">
        <f>AW116*100</f>
        <v>0.64322152719975778</v>
      </c>
    </row>
    <row r="117" spans="1:50" x14ac:dyDescent="0.3">
      <c r="A117" s="105">
        <v>2022</v>
      </c>
      <c r="B117" s="106">
        <f>'Pasture 1'!C117</f>
        <v>15.950000000000001</v>
      </c>
      <c r="C117" s="107"/>
      <c r="D117" s="106">
        <f>'Pasture 2N'!C109</f>
        <v>33.208333333333336</v>
      </c>
      <c r="E117" s="106">
        <f>'Pasture 2SW'!C109</f>
        <v>24.391666666666666</v>
      </c>
      <c r="F117" s="107"/>
      <c r="G117" s="107"/>
      <c r="H117" s="107"/>
      <c r="I117" s="106">
        <f>'UA Cell A'!C109</f>
        <v>2.9166666666666665</v>
      </c>
      <c r="J117" s="106">
        <f>'UA Cell B'!C109</f>
        <v>0</v>
      </c>
      <c r="K117" s="106">
        <f>'UA Cell C'!C109</f>
        <v>2.4250000000000003</v>
      </c>
      <c r="L117" s="106">
        <f>'UA Cell D'!C109</f>
        <v>3.3083333333333336</v>
      </c>
      <c r="M117" s="106">
        <f>'UA Cell E'!C109</f>
        <v>3.375</v>
      </c>
      <c r="N117" s="106">
        <f>'UA Cell F'!C109</f>
        <v>6.1000000000000005</v>
      </c>
      <c r="O117" s="106">
        <f>'UA Cell G'!C109</f>
        <v>3.3083333333333336</v>
      </c>
      <c r="P117" s="106">
        <f>'UA Cell H'!C109</f>
        <v>2.2083333333333335</v>
      </c>
      <c r="Q117" s="106">
        <f>'Pasture 3'!C103</f>
        <v>3.4916666666666667</v>
      </c>
      <c r="R117" s="106">
        <f>'Pasture 4'!C109</f>
        <v>6.083333333333333</v>
      </c>
      <c r="S117" s="107"/>
      <c r="T117" s="106">
        <f>'Pasture 5N'!C106</f>
        <v>20.008333333333333</v>
      </c>
      <c r="U117" s="106">
        <f>'Pasture 5Mid'!C106</f>
        <v>4.45</v>
      </c>
      <c r="V117" s="106">
        <f>'Pasture 5S'!C106</f>
        <v>0</v>
      </c>
      <c r="W117" s="107"/>
      <c r="X117" s="106">
        <f>'Pasture 6A'!C109</f>
        <v>29.083333333333332</v>
      </c>
      <c r="Y117" s="106">
        <f>'Pasture 6B'!C109</f>
        <v>26.75</v>
      </c>
      <c r="Z117" s="106">
        <f>'Pasture 6C'!C109</f>
        <v>0</v>
      </c>
      <c r="AA117" s="106">
        <f>'Pasture 6D'!C109</f>
        <v>6.1916666666666664</v>
      </c>
      <c r="AB117" s="106">
        <f>'Pasture 6E'!C109</f>
        <v>18.408333333333331</v>
      </c>
      <c r="AC117" s="106">
        <f>'Pasture 8'!C110</f>
        <v>9.6250000000000018</v>
      </c>
      <c r="AD117" s="106">
        <f>'Pasture 9'!C116</f>
        <v>0</v>
      </c>
      <c r="AE117" s="106">
        <f>'Pasture 10'!C116</f>
        <v>0</v>
      </c>
      <c r="AF117" s="107"/>
      <c r="AG117" s="106">
        <f>'Pasture 11A'!C103</f>
        <v>0</v>
      </c>
      <c r="AH117" s="106">
        <f>'Pasture 11B'!C103</f>
        <v>0</v>
      </c>
      <c r="AI117" s="106">
        <f>'Pasture 11C'!C103</f>
        <v>1.875</v>
      </c>
      <c r="AJ117" s="107"/>
      <c r="AK117" s="106">
        <f>'Pasture 12A'!C100</f>
        <v>3.3583333333333329</v>
      </c>
      <c r="AL117" s="106">
        <f>'Pasture 12B'!C100</f>
        <v>18.141666666666666</v>
      </c>
      <c r="AM117" s="106">
        <f>'Pasture 12C'!C100</f>
        <v>5.416666666666667</v>
      </c>
      <c r="AN117" s="106">
        <f>'Pasture 12D'!C100</f>
        <v>0</v>
      </c>
      <c r="AO117" s="106">
        <f>'Pasture 12E'!C100</f>
        <v>12.675000000000002</v>
      </c>
      <c r="AP117" s="106">
        <f>'Pasture 15'!C96</f>
        <v>22.908333333333331</v>
      </c>
      <c r="AQ117" s="106">
        <f>'Pasture 140'!C84</f>
        <v>0</v>
      </c>
      <c r="AS117" s="107">
        <f t="shared" si="16"/>
        <v>2022</v>
      </c>
      <c r="AT117" s="106">
        <f t="shared" si="14"/>
        <v>285.6583333333333</v>
      </c>
      <c r="AU117" s="108">
        <f>'Percent Area'!AT116</f>
        <v>19535.669000000002</v>
      </c>
      <c r="AV117" s="109">
        <f t="shared" si="15"/>
        <v>1.462239830810674E-2</v>
      </c>
      <c r="AW117" s="110">
        <f>AV117/2.471</f>
        <v>5.9176035241225167E-3</v>
      </c>
      <c r="AX117" s="111">
        <f>AW117*100</f>
        <v>0.59176035241225167</v>
      </c>
    </row>
    <row r="118" spans="1:50" x14ac:dyDescent="0.3">
      <c r="A118" s="105">
        <v>2023</v>
      </c>
      <c r="B118" s="106">
        <f>'Pasture 1'!C118</f>
        <v>11.316666666666668</v>
      </c>
      <c r="C118" s="107"/>
      <c r="D118" s="106">
        <f>'Pasture 2N'!C110</f>
        <v>37.966666666666669</v>
      </c>
      <c r="E118" s="106">
        <f>'Pasture 2SW'!C110</f>
        <v>12.299999999999999</v>
      </c>
      <c r="F118" s="107"/>
      <c r="G118" s="107"/>
      <c r="H118" s="107"/>
      <c r="I118" s="106">
        <f>'UA Cell A'!C110</f>
        <v>4.8666666666666671</v>
      </c>
      <c r="J118" s="106">
        <f>'UA Cell B'!C110</f>
        <v>0</v>
      </c>
      <c r="K118" s="106">
        <f>'UA Cell C'!C110</f>
        <v>3.4416666666666664</v>
      </c>
      <c r="L118" s="106">
        <f>'UA Cell D'!C110</f>
        <v>2.4666666666666668</v>
      </c>
      <c r="M118" s="106">
        <f>'UA Cell E'!C110</f>
        <v>4.6499999999999995</v>
      </c>
      <c r="N118" s="106">
        <f>'UA Cell F'!C110</f>
        <v>2.5083333333333333</v>
      </c>
      <c r="O118" s="106">
        <f>'UA Cell G'!C110</f>
        <v>0.8833333333333333</v>
      </c>
      <c r="P118" s="106">
        <f>'UA Cell H'!C110</f>
        <v>3.5500000000000003</v>
      </c>
      <c r="Q118" s="106">
        <f>'Pasture 3'!C104</f>
        <v>41.074999999999996</v>
      </c>
      <c r="R118" s="106">
        <f>'Pasture 4'!C110</f>
        <v>13.983333333333333</v>
      </c>
      <c r="S118" s="107"/>
      <c r="T118" s="106">
        <f>'Pasture 5N'!C107</f>
        <v>18.466666666666669</v>
      </c>
      <c r="U118" s="106">
        <f>'Pasture 5Mid'!C107</f>
        <v>22.716666666666669</v>
      </c>
      <c r="V118" s="106">
        <f>'Pasture 5S'!C107</f>
        <v>29.216666666666669</v>
      </c>
      <c r="W118" s="107"/>
      <c r="X118" s="106">
        <f>'Pasture 6A'!C110</f>
        <v>36.825000000000003</v>
      </c>
      <c r="Y118" s="106">
        <f>'Pasture 6B'!C110</f>
        <v>32.408333333333331</v>
      </c>
      <c r="Z118" s="106">
        <f>'Pasture 6C'!C110</f>
        <v>0</v>
      </c>
      <c r="AA118" s="106">
        <f>'Pasture 6D'!C110</f>
        <v>0</v>
      </c>
      <c r="AB118" s="106">
        <f>'Pasture 6E'!C110</f>
        <v>12.291666666666666</v>
      </c>
      <c r="AC118" s="106">
        <f>'Pasture 8'!C111</f>
        <v>16.333333333333332</v>
      </c>
      <c r="AD118" s="106">
        <f>'Pasture 9'!C117</f>
        <v>0</v>
      </c>
      <c r="AE118" s="106">
        <f>'Pasture 10'!C117</f>
        <v>0</v>
      </c>
      <c r="AF118" s="107"/>
      <c r="AG118" s="106">
        <f>'Pasture 11A'!C104</f>
        <v>0</v>
      </c>
      <c r="AH118" s="106">
        <f>'Pasture 11B'!C104</f>
        <v>0.53333333333333333</v>
      </c>
      <c r="AI118" s="106">
        <f>'Pasture 11C'!C104</f>
        <v>2.8666666666666667</v>
      </c>
      <c r="AJ118" s="107"/>
      <c r="AK118" s="106">
        <f>'Pasture 12A'!C101</f>
        <v>0</v>
      </c>
      <c r="AL118" s="106">
        <f>'Pasture 12B'!C101</f>
        <v>17.349999999999998</v>
      </c>
      <c r="AM118" s="106">
        <f>'Pasture 12C'!C101</f>
        <v>0</v>
      </c>
      <c r="AN118" s="106">
        <f>'Pasture 12D'!C101</f>
        <v>6.4333333333333336</v>
      </c>
      <c r="AO118" s="106">
        <f>'Pasture 12E'!C101</f>
        <v>14.116666666666667</v>
      </c>
      <c r="AP118" s="106">
        <f>'Pasture 15'!C97</f>
        <v>26.375</v>
      </c>
      <c r="AQ118" s="106">
        <f>'Pasture 140'!C85</f>
        <v>0</v>
      </c>
      <c r="AS118" s="107">
        <f t="shared" ref="AS118:AS120" si="17">A118</f>
        <v>2023</v>
      </c>
      <c r="AT118" s="106">
        <f t="shared" si="14"/>
        <v>374.94166666666672</v>
      </c>
      <c r="AU118" s="108">
        <f>'Percent Area'!AT117</f>
        <v>19535.669000000002</v>
      </c>
      <c r="AV118" s="109">
        <f t="shared" si="15"/>
        <v>1.9192670937794181E-2</v>
      </c>
      <c r="AW118" s="110">
        <f>AV118/2.471</f>
        <v>7.7671675183303033E-3</v>
      </c>
      <c r="AX118" s="111">
        <f>AW118*100</f>
        <v>0.77671675183303035</v>
      </c>
    </row>
    <row r="119" spans="1:50" x14ac:dyDescent="0.3">
      <c r="A119" s="105">
        <v>2024</v>
      </c>
      <c r="B119" s="106">
        <f>'Pasture 1'!C119</f>
        <v>15.333333333333334</v>
      </c>
      <c r="C119" s="107"/>
      <c r="D119" s="106">
        <f>'Pasture 2N'!C111</f>
        <v>22.11559139784946</v>
      </c>
      <c r="E119" s="106">
        <f>'Pasture 2SW'!C111</f>
        <v>7.1875</v>
      </c>
      <c r="F119" s="107"/>
      <c r="G119" s="107"/>
      <c r="H119" s="107"/>
      <c r="I119" s="106">
        <f>'UA Cell A'!C111</f>
        <v>3.387096774193548</v>
      </c>
      <c r="J119" s="106">
        <f>'UA Cell B'!C111</f>
        <v>0</v>
      </c>
      <c r="K119" s="106">
        <f>'UA Cell C'!C111</f>
        <v>5.8064516129032251</v>
      </c>
      <c r="L119" s="106">
        <f>'UA Cell D'!C111</f>
        <v>2.6444444444444444</v>
      </c>
      <c r="M119" s="106">
        <f>'UA Cell E'!C111</f>
        <v>4.596774193548387</v>
      </c>
      <c r="N119" s="106">
        <f>'UA Cell F'!C111</f>
        <v>5.25</v>
      </c>
      <c r="O119" s="106">
        <f>'UA Cell G'!C111</f>
        <v>4.153225806451613</v>
      </c>
      <c r="P119" s="106">
        <f>'UA Cell H'!C111</f>
        <v>4.725806451612903</v>
      </c>
      <c r="Q119" s="106">
        <f>'Pasture 3'!C105</f>
        <v>33.133602150537634</v>
      </c>
      <c r="R119" s="106">
        <f>'Pasture 4'!C111</f>
        <v>9.9032258064516139</v>
      </c>
      <c r="S119" s="107"/>
      <c r="T119" s="106">
        <f>'Pasture 5N'!C108</f>
        <v>32.591397849462368</v>
      </c>
      <c r="U119" s="106">
        <f>'Pasture 5Mid'!C108</f>
        <v>19.495161290322581</v>
      </c>
      <c r="V119" s="106">
        <f>'Pasture 5S'!C108</f>
        <v>44.241397849462366</v>
      </c>
      <c r="W119" s="107"/>
      <c r="X119" s="106">
        <f>'Pasture 6A'!C111</f>
        <v>32.738172043010756</v>
      </c>
      <c r="Y119" s="106">
        <f>'Pasture 6B'!C111</f>
        <v>18.155152329749104</v>
      </c>
      <c r="Z119" s="106">
        <f>'Pasture 6C'!C111</f>
        <v>8.043010752688172</v>
      </c>
      <c r="AA119" s="106">
        <f>'Pasture 6D'!C111</f>
        <v>32.895743727598564</v>
      </c>
      <c r="AB119" s="106">
        <f>'Pasture 6E'!C111</f>
        <v>25.155017921146953</v>
      </c>
      <c r="AC119" s="106">
        <f>'Pasture 8'!C112</f>
        <v>9.698924731182796</v>
      </c>
      <c r="AD119" s="106">
        <f>'Pasture 9'!C118</f>
        <v>0</v>
      </c>
      <c r="AE119" s="106">
        <f>'Pasture 10'!C118</f>
        <v>0</v>
      </c>
      <c r="AF119" s="107"/>
      <c r="AG119" s="106">
        <f>'Pasture 11A'!C105</f>
        <v>0</v>
      </c>
      <c r="AH119" s="106">
        <f>'Pasture 11B'!C105</f>
        <v>2.1774193548387095</v>
      </c>
      <c r="AI119" s="106">
        <f>'Pasture 11C'!C105</f>
        <v>3.1451612903225805</v>
      </c>
      <c r="AJ119" s="107"/>
      <c r="AK119" s="106">
        <f>'Pasture 12A'!C102</f>
        <v>4.1870519713261656</v>
      </c>
      <c r="AL119" s="106">
        <f>'Pasture 12B'!C102</f>
        <v>0</v>
      </c>
      <c r="AM119" s="106">
        <f>'Pasture 12C'!C102</f>
        <v>17.876344086021508</v>
      </c>
      <c r="AN119" s="106">
        <f>'Pasture 12D'!C102</f>
        <v>0</v>
      </c>
      <c r="AO119" s="106">
        <f>'Pasture 12E'!C102</f>
        <v>0</v>
      </c>
      <c r="AP119" s="106">
        <f>'Pasture 15'!C98</f>
        <v>30.444086021505374</v>
      </c>
      <c r="AQ119" s="106">
        <f>'Pasture 140'!C86</f>
        <v>0.84722222222222221</v>
      </c>
      <c r="AS119" s="107">
        <f t="shared" ref="AS119" si="18">A119</f>
        <v>2024</v>
      </c>
      <c r="AT119" s="106">
        <f t="shared" si="14"/>
        <v>399.92831541218641</v>
      </c>
      <c r="AU119" s="108">
        <f>'Percent Area'!AT118</f>
        <v>19535.669000000002</v>
      </c>
      <c r="AV119" s="109">
        <f t="shared" si="15"/>
        <v>2.0471697970117449E-2</v>
      </c>
      <c r="AW119" s="110">
        <f>AV119/2.471</f>
        <v>8.2847826669839933E-3</v>
      </c>
      <c r="AX119" s="111">
        <f>AW119*100</f>
        <v>0.8284782666983993</v>
      </c>
    </row>
    <row r="120" spans="1:50" x14ac:dyDescent="0.3">
      <c r="A120" s="105">
        <v>2025</v>
      </c>
      <c r="B120" s="106">
        <f>'Pasture 1'!C120</f>
        <v>10.325000000000001</v>
      </c>
      <c r="C120" s="107"/>
      <c r="D120" s="106">
        <f>'Pasture 2N'!C112</f>
        <v>44.133333333333333</v>
      </c>
      <c r="E120" s="106">
        <f>'Pasture 2SW'!C112</f>
        <v>26.391666666666666</v>
      </c>
      <c r="F120" s="107"/>
      <c r="G120" s="107"/>
      <c r="H120" s="107"/>
      <c r="I120" s="106">
        <f>'UA Cell A'!C112</f>
        <v>3.3583333333333329</v>
      </c>
      <c r="J120" s="106">
        <f>'UA Cell B'!C112</f>
        <v>0</v>
      </c>
      <c r="K120" s="106">
        <f>'UA Cell C'!C112</f>
        <v>0</v>
      </c>
      <c r="L120" s="106">
        <f>'UA Cell D'!C112</f>
        <v>6.3999999999999995</v>
      </c>
      <c r="M120" s="106">
        <f>'UA Cell E'!C112</f>
        <v>6.9666666666666659</v>
      </c>
      <c r="N120" s="106">
        <f>'UA Cell F'!C112</f>
        <v>7.9666666666666659</v>
      </c>
      <c r="O120" s="106">
        <f>'UA Cell G'!C112</f>
        <v>4.9000000000000004</v>
      </c>
      <c r="P120" s="106">
        <f>'UA Cell H'!C112</f>
        <v>4.6833333333333336</v>
      </c>
      <c r="Q120" s="106">
        <f>'Pasture 3'!C106</f>
        <v>43.300000000000004</v>
      </c>
      <c r="R120" s="106">
        <f>'Pasture 4'!C112</f>
        <v>9.0333333333333332</v>
      </c>
      <c r="S120" s="107"/>
      <c r="T120" s="106">
        <f>'Pasture 5N'!C109</f>
        <v>0</v>
      </c>
      <c r="U120" s="106">
        <f>'Pasture 5Mid'!C109</f>
        <v>0</v>
      </c>
      <c r="V120" s="106">
        <f>'Pasture 5S'!C109</f>
        <v>5.1916666666666664</v>
      </c>
      <c r="W120" s="107"/>
      <c r="X120" s="106">
        <f>'Pasture 6A'!C112</f>
        <v>0</v>
      </c>
      <c r="Y120" s="106">
        <f>'Pasture 6B'!C112</f>
        <v>0</v>
      </c>
      <c r="Z120" s="106">
        <f>'Pasture 6C'!C112</f>
        <v>0</v>
      </c>
      <c r="AA120" s="106">
        <f>'Pasture 6D'!C112</f>
        <v>0</v>
      </c>
      <c r="AB120" s="106">
        <f>'Pasture 6E'!C112</f>
        <v>2.2250000000000001</v>
      </c>
      <c r="AC120" s="106">
        <f>'Pasture 8'!C113</f>
        <v>15.866666666666667</v>
      </c>
      <c r="AD120" s="106">
        <f>'Pasture 9'!C119</f>
        <v>0</v>
      </c>
      <c r="AE120" s="106">
        <f>'Pasture 10'!C119</f>
        <v>0</v>
      </c>
      <c r="AF120" s="107"/>
      <c r="AG120" s="106">
        <f>'Pasture 11A'!C106</f>
        <v>0</v>
      </c>
      <c r="AH120" s="106">
        <f>'Pasture 11B'!C106</f>
        <v>0</v>
      </c>
      <c r="AI120" s="106">
        <f>'Pasture 11C'!C106</f>
        <v>0</v>
      </c>
      <c r="AJ120" s="107"/>
      <c r="AK120" s="106">
        <f>'Pasture 12A'!C103</f>
        <v>6.2833333333333341</v>
      </c>
      <c r="AL120" s="106">
        <f>'Pasture 12B'!C103</f>
        <v>27.716666666666665</v>
      </c>
      <c r="AM120" s="106">
        <f>'Pasture 12C'!C103</f>
        <v>31.716666666666669</v>
      </c>
      <c r="AN120" s="106">
        <f>'Pasture 12D'!C103</f>
        <v>0</v>
      </c>
      <c r="AO120" s="106">
        <f>'Pasture 12E'!C103</f>
        <v>16.541666666666668</v>
      </c>
      <c r="AP120" s="106">
        <f>'Pasture 15'!C99</f>
        <v>0</v>
      </c>
      <c r="AQ120" s="106">
        <f>'Pasture 140'!C87</f>
        <v>0</v>
      </c>
      <c r="AS120" s="107">
        <f t="shared" si="17"/>
        <v>2025</v>
      </c>
      <c r="AT120" s="106">
        <f>SUM(B120:AQ120)</f>
        <v>273.00000000000006</v>
      </c>
      <c r="AU120" s="108">
        <f>'Percent Area'!AT119</f>
        <v>19535.669000000002</v>
      </c>
      <c r="AV120" s="109">
        <f>AT120/AU120</f>
        <v>1.3974438244218819E-2</v>
      </c>
      <c r="AW120" s="110">
        <f>AV120/2.471</f>
        <v>5.6553776787611571E-3</v>
      </c>
      <c r="AX120" s="111">
        <f>AW120*100</f>
        <v>0.56553776787611576</v>
      </c>
    </row>
  </sheetData>
  <mergeCells count="2">
    <mergeCell ref="A1:AQ1"/>
    <mergeCell ref="AS1:AX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332031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88671875" style="56" customWidth="1"/>
    <col min="20" max="20" width="11.6640625" style="56" customWidth="1"/>
    <col min="21" max="16384" width="9.109375" style="40"/>
  </cols>
  <sheetData>
    <row r="1" spans="1:20" ht="15" x14ac:dyDescent="0.25">
      <c r="A1" s="120" t="s">
        <v>83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54">
        <v>315.63</v>
      </c>
      <c r="F59" s="14">
        <f t="shared" si="1"/>
        <v>8.7898816430726399</v>
      </c>
      <c r="G59" s="38">
        <f t="shared" si="2"/>
        <v>0.11376717464541815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</row>
    <row r="60" spans="1:20" ht="15.75" customHeight="1" x14ac:dyDescent="0.25">
      <c r="A60" s="58">
        <v>1973</v>
      </c>
      <c r="B60" s="58">
        <v>12</v>
      </c>
      <c r="C60" s="59">
        <f t="shared" ref="C60:C76" si="4">D60/B60</f>
        <v>37.666666666666664</v>
      </c>
      <c r="D60" s="59">
        <f t="shared" ref="D60:D75" si="5">SUM(I60:T60)</f>
        <v>452</v>
      </c>
      <c r="E60" s="54">
        <v>315.63</v>
      </c>
      <c r="F60" s="54">
        <f t="shared" ref="F60:F76" si="6">E60/C60</f>
        <v>8.3795575221238945</v>
      </c>
      <c r="G60" s="60">
        <f t="shared" ref="G60:G76" si="7">C60/E60</f>
        <v>0.11933804348974009</v>
      </c>
      <c r="I60" s="54">
        <v>0</v>
      </c>
      <c r="J60" s="54">
        <v>0</v>
      </c>
      <c r="K60" s="54">
        <v>56.5</v>
      </c>
      <c r="L60" s="54">
        <v>56.5</v>
      </c>
      <c r="M60" s="54">
        <v>56.5</v>
      </c>
      <c r="N60" s="54">
        <v>56.5</v>
      </c>
      <c r="O60" s="54">
        <v>56.5</v>
      </c>
      <c r="P60" s="54">
        <v>56.5</v>
      </c>
      <c r="Q60" s="54">
        <v>56.5</v>
      </c>
      <c r="R60" s="54">
        <v>56.5</v>
      </c>
      <c r="S60" s="54">
        <v>0</v>
      </c>
      <c r="T60" s="54">
        <v>0</v>
      </c>
    </row>
    <row r="61" spans="1:20" ht="15.75" customHeight="1" x14ac:dyDescent="0.25">
      <c r="A61" s="58">
        <v>1974</v>
      </c>
      <c r="B61" s="58">
        <v>12</v>
      </c>
      <c r="C61" s="59">
        <f t="shared" si="4"/>
        <v>4.333333333333333</v>
      </c>
      <c r="D61" s="59">
        <f t="shared" si="5"/>
        <v>52</v>
      </c>
      <c r="E61" s="54">
        <v>315.63</v>
      </c>
      <c r="F61" s="54">
        <f t="shared" si="6"/>
        <v>72.837692307692308</v>
      </c>
      <c r="G61" s="60">
        <f t="shared" si="7"/>
        <v>1.3729155445722311E-2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26</v>
      </c>
      <c r="T61" s="54">
        <v>26</v>
      </c>
    </row>
    <row r="62" spans="1:20" ht="15.75" customHeight="1" x14ac:dyDescent="0.25">
      <c r="A62" s="58">
        <v>1975</v>
      </c>
      <c r="B62" s="58">
        <v>12</v>
      </c>
      <c r="C62" s="59">
        <f t="shared" si="4"/>
        <v>4.5249999999999995</v>
      </c>
      <c r="D62" s="59">
        <f t="shared" si="5"/>
        <v>54.3</v>
      </c>
      <c r="E62" s="54">
        <v>315.63</v>
      </c>
      <c r="F62" s="54">
        <f t="shared" si="6"/>
        <v>69.752486187845307</v>
      </c>
      <c r="G62" s="60">
        <f t="shared" si="7"/>
        <v>1.4336406551975413E-2</v>
      </c>
      <c r="I62" s="54">
        <v>25.3</v>
      </c>
      <c r="J62" s="54">
        <v>25</v>
      </c>
      <c r="K62" s="54">
        <v>4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</row>
    <row r="63" spans="1:20" ht="15.75" customHeight="1" x14ac:dyDescent="0.25">
      <c r="A63" s="58">
        <v>1976</v>
      </c>
      <c r="B63" s="58">
        <v>12</v>
      </c>
      <c r="C63" s="59">
        <f t="shared" si="4"/>
        <v>37.666666666666664</v>
      </c>
      <c r="D63" s="59">
        <f t="shared" si="5"/>
        <v>452</v>
      </c>
      <c r="E63" s="54">
        <v>315.63</v>
      </c>
      <c r="F63" s="54">
        <f t="shared" si="6"/>
        <v>8.3795575221238945</v>
      </c>
      <c r="G63" s="60">
        <f t="shared" si="7"/>
        <v>0.11933804348974009</v>
      </c>
      <c r="I63" s="54">
        <v>0</v>
      </c>
      <c r="J63" s="54">
        <v>0</v>
      </c>
      <c r="K63" s="54">
        <v>56.5</v>
      </c>
      <c r="L63" s="54">
        <v>56.5</v>
      </c>
      <c r="M63" s="54">
        <v>56.5</v>
      </c>
      <c r="N63" s="54">
        <v>56.5</v>
      </c>
      <c r="O63" s="54">
        <v>56.5</v>
      </c>
      <c r="P63" s="54">
        <v>56.5</v>
      </c>
      <c r="Q63" s="54">
        <v>56.5</v>
      </c>
      <c r="R63" s="54">
        <v>56.5</v>
      </c>
      <c r="S63" s="54">
        <v>0</v>
      </c>
      <c r="T63" s="54">
        <v>0</v>
      </c>
    </row>
    <row r="64" spans="1:20" ht="15.75" customHeight="1" x14ac:dyDescent="0.25">
      <c r="A64" s="58">
        <v>1977</v>
      </c>
      <c r="B64" s="58">
        <v>12</v>
      </c>
      <c r="C64" s="59">
        <f t="shared" si="4"/>
        <v>8.6666666666666661</v>
      </c>
      <c r="D64" s="59">
        <f t="shared" si="5"/>
        <v>104</v>
      </c>
      <c r="E64" s="54">
        <v>315.63</v>
      </c>
      <c r="F64" s="54">
        <f t="shared" si="6"/>
        <v>36.418846153846154</v>
      </c>
      <c r="G64" s="60">
        <f t="shared" si="7"/>
        <v>2.7458310891444623E-2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52</v>
      </c>
      <c r="T64" s="54">
        <v>52</v>
      </c>
    </row>
    <row r="65" spans="1:20" ht="15.75" customHeight="1" x14ac:dyDescent="0.25">
      <c r="A65" s="58">
        <v>1978</v>
      </c>
      <c r="B65" s="58">
        <v>12</v>
      </c>
      <c r="C65" s="59">
        <f t="shared" si="4"/>
        <v>8.6666666666666661</v>
      </c>
      <c r="D65" s="59">
        <f t="shared" si="5"/>
        <v>104</v>
      </c>
      <c r="E65" s="54">
        <v>315.63</v>
      </c>
      <c r="F65" s="54">
        <f t="shared" si="6"/>
        <v>36.418846153846154</v>
      </c>
      <c r="G65" s="60">
        <f t="shared" si="7"/>
        <v>2.7458310891444623E-2</v>
      </c>
      <c r="I65" s="54">
        <v>52</v>
      </c>
      <c r="J65" s="54">
        <v>52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</row>
    <row r="66" spans="1:20" ht="15.75" customHeight="1" x14ac:dyDescent="0.25">
      <c r="A66" s="58">
        <v>1979</v>
      </c>
      <c r="B66" s="58">
        <v>12</v>
      </c>
      <c r="C66" s="59">
        <f t="shared" si="4"/>
        <v>37.666666666666664</v>
      </c>
      <c r="D66" s="59">
        <f t="shared" si="5"/>
        <v>452</v>
      </c>
      <c r="E66" s="54">
        <v>315.63</v>
      </c>
      <c r="F66" s="54">
        <f t="shared" si="6"/>
        <v>8.3795575221238945</v>
      </c>
      <c r="G66" s="60">
        <f t="shared" si="7"/>
        <v>0.11933804348974009</v>
      </c>
      <c r="I66" s="54">
        <v>0</v>
      </c>
      <c r="J66" s="54">
        <v>0</v>
      </c>
      <c r="K66" s="54">
        <v>56.5</v>
      </c>
      <c r="L66" s="54">
        <v>56.5</v>
      </c>
      <c r="M66" s="54">
        <v>56.5</v>
      </c>
      <c r="N66" s="54">
        <v>56.5</v>
      </c>
      <c r="O66" s="54">
        <v>56.5</v>
      </c>
      <c r="P66" s="54">
        <v>56.5</v>
      </c>
      <c r="Q66" s="54">
        <v>56.5</v>
      </c>
      <c r="R66" s="54">
        <v>56.5</v>
      </c>
      <c r="S66" s="54">
        <v>0</v>
      </c>
      <c r="T66" s="54">
        <v>0</v>
      </c>
    </row>
    <row r="67" spans="1:20" ht="15.75" customHeight="1" x14ac:dyDescent="0.25">
      <c r="A67" s="58">
        <v>1980</v>
      </c>
      <c r="B67" s="58">
        <v>12</v>
      </c>
      <c r="C67" s="59">
        <f t="shared" si="4"/>
        <v>8.6666666666666661</v>
      </c>
      <c r="D67" s="59">
        <f t="shared" si="5"/>
        <v>104</v>
      </c>
      <c r="E67" s="54">
        <v>315.63</v>
      </c>
      <c r="F67" s="54">
        <f t="shared" si="6"/>
        <v>36.418846153846154</v>
      </c>
      <c r="G67" s="60">
        <f t="shared" si="7"/>
        <v>2.7458310891444623E-2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52</v>
      </c>
      <c r="T67" s="54">
        <v>52</v>
      </c>
    </row>
    <row r="68" spans="1:20" ht="15.75" customHeight="1" x14ac:dyDescent="0.25">
      <c r="A68" s="58">
        <v>1981</v>
      </c>
      <c r="B68" s="58">
        <v>12</v>
      </c>
      <c r="C68" s="59">
        <f t="shared" si="4"/>
        <v>8.6666666666666661</v>
      </c>
      <c r="D68" s="59">
        <f t="shared" si="5"/>
        <v>104</v>
      </c>
      <c r="E68" s="54">
        <v>315.63</v>
      </c>
      <c r="F68" s="54">
        <f t="shared" si="6"/>
        <v>36.418846153846154</v>
      </c>
      <c r="G68" s="60">
        <f t="shared" si="7"/>
        <v>2.7458310891444623E-2</v>
      </c>
      <c r="I68" s="54">
        <v>52</v>
      </c>
      <c r="J68" s="54">
        <v>52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</row>
    <row r="69" spans="1:20" ht="15.75" customHeight="1" x14ac:dyDescent="0.25">
      <c r="A69" s="58">
        <v>1982</v>
      </c>
      <c r="B69" s="58">
        <v>12</v>
      </c>
      <c r="C69" s="59">
        <f t="shared" si="4"/>
        <v>37.666666666666664</v>
      </c>
      <c r="D69" s="59">
        <f t="shared" si="5"/>
        <v>452</v>
      </c>
      <c r="E69" s="54">
        <v>315.63</v>
      </c>
      <c r="F69" s="54">
        <f t="shared" si="6"/>
        <v>8.3795575221238945</v>
      </c>
      <c r="G69" s="60">
        <f t="shared" si="7"/>
        <v>0.11933804348974009</v>
      </c>
      <c r="I69" s="54">
        <v>0</v>
      </c>
      <c r="J69" s="54">
        <v>0</v>
      </c>
      <c r="K69" s="54">
        <v>56.5</v>
      </c>
      <c r="L69" s="54">
        <v>56.5</v>
      </c>
      <c r="M69" s="54">
        <v>56.5</v>
      </c>
      <c r="N69" s="54">
        <v>56.5</v>
      </c>
      <c r="O69" s="54">
        <v>56.5</v>
      </c>
      <c r="P69" s="54">
        <v>56.5</v>
      </c>
      <c r="Q69" s="54">
        <v>56.5</v>
      </c>
      <c r="R69" s="54">
        <v>56.5</v>
      </c>
      <c r="S69" s="54">
        <v>0</v>
      </c>
      <c r="T69" s="54">
        <v>0</v>
      </c>
    </row>
    <row r="70" spans="1:20" ht="15.75" customHeight="1" x14ac:dyDescent="0.25">
      <c r="A70" s="58">
        <v>1983</v>
      </c>
      <c r="B70" s="58">
        <v>12</v>
      </c>
      <c r="C70" s="59">
        <f t="shared" si="4"/>
        <v>10</v>
      </c>
      <c r="D70" s="59">
        <f t="shared" si="5"/>
        <v>120</v>
      </c>
      <c r="E70" s="54">
        <v>315.63</v>
      </c>
      <c r="F70" s="54">
        <f t="shared" si="6"/>
        <v>31.562999999999999</v>
      </c>
      <c r="G70" s="60">
        <f t="shared" si="7"/>
        <v>3.1682666413205336E-2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60</v>
      </c>
      <c r="T70" s="54">
        <v>60</v>
      </c>
    </row>
    <row r="71" spans="1:20" ht="15.75" customHeight="1" x14ac:dyDescent="0.25">
      <c r="A71" s="58">
        <v>1984</v>
      </c>
      <c r="B71" s="58">
        <v>12</v>
      </c>
      <c r="C71" s="59">
        <f t="shared" si="4"/>
        <v>10</v>
      </c>
      <c r="D71" s="59">
        <f t="shared" si="5"/>
        <v>120</v>
      </c>
      <c r="E71" s="54">
        <v>315.63</v>
      </c>
      <c r="F71" s="54">
        <f t="shared" si="6"/>
        <v>31.562999999999999</v>
      </c>
      <c r="G71" s="60">
        <f t="shared" si="7"/>
        <v>3.1682666413205336E-2</v>
      </c>
      <c r="I71" s="54">
        <v>60</v>
      </c>
      <c r="J71" s="54">
        <v>60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</row>
    <row r="72" spans="1:20" ht="15.75" customHeight="1" x14ac:dyDescent="0.25">
      <c r="A72" s="58">
        <v>1985</v>
      </c>
      <c r="B72" s="58">
        <v>12</v>
      </c>
      <c r="C72" s="59">
        <f t="shared" si="4"/>
        <v>41.333333333333336</v>
      </c>
      <c r="D72" s="59">
        <f t="shared" si="5"/>
        <v>496</v>
      </c>
      <c r="E72" s="54">
        <v>315.63</v>
      </c>
      <c r="F72" s="54">
        <f t="shared" si="6"/>
        <v>7.6362096774193544</v>
      </c>
      <c r="G72" s="60">
        <f t="shared" si="7"/>
        <v>0.13095502117458208</v>
      </c>
      <c r="I72" s="54">
        <v>0</v>
      </c>
      <c r="J72" s="54">
        <v>0</v>
      </c>
      <c r="K72" s="54">
        <v>62</v>
      </c>
      <c r="L72" s="54">
        <v>62</v>
      </c>
      <c r="M72" s="54">
        <v>62</v>
      </c>
      <c r="N72" s="54">
        <v>62</v>
      </c>
      <c r="O72" s="54">
        <v>62</v>
      </c>
      <c r="P72" s="54">
        <v>62</v>
      </c>
      <c r="Q72" s="54">
        <v>62</v>
      </c>
      <c r="R72" s="54">
        <v>62</v>
      </c>
      <c r="S72" s="54">
        <v>0</v>
      </c>
      <c r="T72" s="54">
        <v>0</v>
      </c>
    </row>
    <row r="73" spans="1:20" ht="15.75" customHeight="1" x14ac:dyDescent="0.25">
      <c r="A73" s="58">
        <v>1986</v>
      </c>
      <c r="B73" s="58">
        <v>12</v>
      </c>
      <c r="C73" s="59">
        <f t="shared" si="4"/>
        <v>18.333333333333332</v>
      </c>
      <c r="D73" s="59">
        <f t="shared" si="5"/>
        <v>220</v>
      </c>
      <c r="E73" s="54">
        <v>315.63</v>
      </c>
      <c r="F73" s="54">
        <f t="shared" si="6"/>
        <v>17.21618181818182</v>
      </c>
      <c r="G73" s="60">
        <f t="shared" si="7"/>
        <v>5.808488842420978E-2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110</v>
      </c>
      <c r="T73" s="54">
        <v>110</v>
      </c>
    </row>
    <row r="74" spans="1:20" ht="15.75" customHeight="1" x14ac:dyDescent="0.25">
      <c r="A74" s="58">
        <v>1987</v>
      </c>
      <c r="B74" s="58">
        <v>12</v>
      </c>
      <c r="C74" s="59">
        <f t="shared" si="4"/>
        <v>18.333333333333332</v>
      </c>
      <c r="D74" s="59">
        <f t="shared" si="5"/>
        <v>220</v>
      </c>
      <c r="E74" s="54">
        <v>315.63</v>
      </c>
      <c r="F74" s="54">
        <f t="shared" si="6"/>
        <v>17.21618181818182</v>
      </c>
      <c r="G74" s="60">
        <f t="shared" si="7"/>
        <v>5.808488842420978E-2</v>
      </c>
      <c r="I74" s="54">
        <v>110</v>
      </c>
      <c r="J74" s="54">
        <v>110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/>
      <c r="T74" s="54"/>
    </row>
    <row r="75" spans="1:20" ht="15.75" customHeight="1" x14ac:dyDescent="0.25">
      <c r="A75" s="58">
        <v>1988</v>
      </c>
      <c r="B75" s="58">
        <v>12</v>
      </c>
      <c r="C75" s="59">
        <f t="shared" si="4"/>
        <v>0</v>
      </c>
      <c r="D75" s="59">
        <f t="shared" si="5"/>
        <v>0</v>
      </c>
      <c r="E75" s="54">
        <v>315.63</v>
      </c>
      <c r="F75" s="54" t="e">
        <f t="shared" si="6"/>
        <v>#DIV/0!</v>
      </c>
      <c r="G75" s="60">
        <f t="shared" si="7"/>
        <v>0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0</v>
      </c>
      <c r="T75" s="54">
        <v>0</v>
      </c>
    </row>
    <row r="76" spans="1:20" ht="15.75" customHeight="1" x14ac:dyDescent="0.25">
      <c r="A76" s="58">
        <v>1989</v>
      </c>
      <c r="B76" s="58">
        <v>12</v>
      </c>
      <c r="C76" s="59">
        <f t="shared" si="4"/>
        <v>25</v>
      </c>
      <c r="D76" s="59">
        <f>SUM(I76:T76)</f>
        <v>300</v>
      </c>
      <c r="E76" s="54">
        <v>315.63</v>
      </c>
      <c r="F76" s="54">
        <f t="shared" si="6"/>
        <v>12.6252</v>
      </c>
      <c r="G76" s="60">
        <f t="shared" si="7"/>
        <v>7.9206666033013337E-2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63.13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SUM(I94:T94)</f>
        <v>0</v>
      </c>
      <c r="E94" s="49">
        <v>63.13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63.13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63.13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2.4250000000000003</v>
      </c>
      <c r="D97" s="51">
        <f t="shared" si="13"/>
        <v>29.1</v>
      </c>
      <c r="E97" s="49">
        <v>63.13</v>
      </c>
      <c r="F97" s="49">
        <f t="shared" si="14"/>
        <v>26.032989690721649</v>
      </c>
      <c r="G97" s="52">
        <f t="shared" si="15"/>
        <v>3.8412798986218917E-2</v>
      </c>
      <c r="I97" s="49">
        <v>0</v>
      </c>
      <c r="J97" s="49">
        <v>5.0999999999999996</v>
      </c>
      <c r="K97" s="49">
        <v>12</v>
      </c>
      <c r="L97" s="49">
        <v>12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1.5250000000000001</v>
      </c>
      <c r="D98" s="51">
        <f t="shared" ref="D98:D107" si="17">SUM(I98:T98)</f>
        <v>18.3</v>
      </c>
      <c r="E98" s="49">
        <v>63.13</v>
      </c>
      <c r="F98" s="49">
        <f t="shared" ref="F98:F107" si="18">E98/C98</f>
        <v>41.39672131147541</v>
      </c>
      <c r="G98" s="52">
        <f t="shared" ref="G98:G107" si="19">C98/E98</f>
        <v>2.4156502455251069E-2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18.3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0.97499999999999998</v>
      </c>
      <c r="D99" s="51">
        <f t="shared" si="17"/>
        <v>11.7</v>
      </c>
      <c r="E99" s="49">
        <v>63.13</v>
      </c>
      <c r="F99" s="49">
        <f t="shared" si="18"/>
        <v>64.748717948717953</v>
      </c>
      <c r="G99" s="52">
        <f t="shared" si="19"/>
        <v>1.5444321241881831E-2</v>
      </c>
      <c r="I99" s="49">
        <v>7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2.1</v>
      </c>
      <c r="Q99" s="49">
        <v>2.6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63.13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63.13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0</v>
      </c>
      <c r="D102" s="51">
        <f t="shared" si="17"/>
        <v>0</v>
      </c>
      <c r="E102" s="49">
        <v>63.13</v>
      </c>
      <c r="F102" s="49" t="e">
        <f t="shared" si="18"/>
        <v>#DIV/0!</v>
      </c>
      <c r="G102" s="52">
        <f t="shared" si="19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0</v>
      </c>
      <c r="D103" s="51">
        <f t="shared" si="17"/>
        <v>0</v>
      </c>
      <c r="E103" s="49">
        <v>63.13</v>
      </c>
      <c r="F103" s="49" t="e">
        <f t="shared" si="18"/>
        <v>#DIV/0!</v>
      </c>
      <c r="G103" s="52">
        <f t="shared" si="19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</v>
      </c>
      <c r="D104" s="51">
        <f t="shared" si="17"/>
        <v>0</v>
      </c>
      <c r="E104" s="49">
        <v>63.13</v>
      </c>
      <c r="F104" s="49" t="e">
        <f t="shared" si="18"/>
        <v>#DIV/0!</v>
      </c>
      <c r="G104" s="52">
        <f t="shared" si="19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0</v>
      </c>
      <c r="D105" s="51">
        <f t="shared" si="17"/>
        <v>0</v>
      </c>
      <c r="E105" s="49">
        <v>63.13</v>
      </c>
      <c r="F105" s="49" t="e">
        <f t="shared" si="18"/>
        <v>#DIV/0!</v>
      </c>
      <c r="G105" s="52">
        <f t="shared" si="19"/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1.1083333333333334</v>
      </c>
      <c r="D106" s="51">
        <f t="shared" si="17"/>
        <v>13.3</v>
      </c>
      <c r="E106" s="49">
        <v>63.13</v>
      </c>
      <c r="F106" s="49">
        <f t="shared" si="18"/>
        <v>56.959398496240603</v>
      </c>
      <c r="G106" s="52">
        <f t="shared" si="19"/>
        <v>1.7556365172395585E-2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13.3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1.4558333333333333</v>
      </c>
      <c r="D107" s="51">
        <f t="shared" si="17"/>
        <v>17.47</v>
      </c>
      <c r="E107" s="49">
        <v>63.13</v>
      </c>
      <c r="F107" s="49">
        <f t="shared" si="18"/>
        <v>43.363480251860331</v>
      </c>
      <c r="G107" s="52">
        <f t="shared" si="19"/>
        <v>2.3060879666297059E-2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2.57</v>
      </c>
      <c r="R107" s="49">
        <v>14.9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1.3833333333333335</v>
      </c>
      <c r="D108" s="51">
        <f t="shared" ref="D108" si="21">SUM(I108:T108)</f>
        <v>16.600000000000001</v>
      </c>
      <c r="E108" s="49">
        <v>63.13</v>
      </c>
      <c r="F108" s="49">
        <f t="shared" ref="F108" si="22">E108/C108</f>
        <v>45.63614457831325</v>
      </c>
      <c r="G108" s="52">
        <f t="shared" ref="G108" si="23">C108/E108</f>
        <v>2.1912455779080207E-2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7.8</v>
      </c>
      <c r="S108" s="54">
        <v>8.8000000000000007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3.375</v>
      </c>
      <c r="D109" s="51">
        <f t="shared" ref="D109" si="25">SUM(I109:T109)</f>
        <v>40.5</v>
      </c>
      <c r="E109" s="49">
        <v>63.13</v>
      </c>
      <c r="F109" s="49">
        <f t="shared" ref="F109" si="26">E109/C109</f>
        <v>18.705185185185186</v>
      </c>
      <c r="G109" s="52">
        <f t="shared" ref="G109" si="27">C109/E109</f>
        <v>5.3461111991129413E-2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13.2</v>
      </c>
      <c r="Q109" s="54">
        <v>27.3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4.6499999999999995</v>
      </c>
      <c r="D110" s="51">
        <f t="shared" ref="D110" si="29">SUM(I110:T110)</f>
        <v>55.8</v>
      </c>
      <c r="E110" s="49">
        <v>63.13</v>
      </c>
      <c r="F110" s="49">
        <f t="shared" ref="F110" si="30">E110/C110</f>
        <v>13.576344086021507</v>
      </c>
      <c r="G110" s="52">
        <f t="shared" ref="G110" si="31">C110/E110</f>
        <v>7.3657532076667184E-2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50.3</v>
      </c>
      <c r="S110" s="54">
        <v>5.5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4.596774193548387</v>
      </c>
      <c r="D111" s="51">
        <f t="shared" ref="D111" si="33">SUM(I111:T111)</f>
        <v>55.161290322580648</v>
      </c>
      <c r="E111" s="49">
        <v>63.13</v>
      </c>
      <c r="F111" s="49">
        <f t="shared" ref="F111" si="34">E111/C111</f>
        <v>13.733543859649124</v>
      </c>
      <c r="G111" s="52">
        <f t="shared" ref="G111" si="35">C111/E111</f>
        <v>7.2814417765695971E-2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55.161290322580648</v>
      </c>
      <c r="S111" s="54">
        <v>0</v>
      </c>
      <c r="T111" s="54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6.9666666666666659</v>
      </c>
      <c r="D112" s="51">
        <f t="shared" ref="D112" si="37">SUM(I112:T112)</f>
        <v>83.6</v>
      </c>
      <c r="E112" s="49">
        <v>63.13</v>
      </c>
      <c r="F112" s="49">
        <f t="shared" ref="F112" si="38">E112/C112</f>
        <v>9.0617224880382796</v>
      </c>
      <c r="G112" s="52">
        <f t="shared" ref="G112" si="39">C112/E112</f>
        <v>0.11035429536934367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83.6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2" style="56" customWidth="1"/>
    <col min="20" max="20" width="12.109375" style="56" customWidth="1"/>
    <col min="21" max="16384" width="9.109375" style="40"/>
  </cols>
  <sheetData>
    <row r="1" spans="1:20" ht="15" x14ac:dyDescent="0.25">
      <c r="A1" s="120" t="s">
        <v>84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49">
        <v>314.77</v>
      </c>
      <c r="F59" s="14">
        <f t="shared" si="1"/>
        <v>8.7659317707124629</v>
      </c>
      <c r="G59" s="38">
        <f t="shared" si="2"/>
        <v>0.11407800404528175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50">
        <v>1973</v>
      </c>
      <c r="B60" s="50">
        <v>12</v>
      </c>
      <c r="C60" s="51">
        <f t="shared" ref="C60:C76" si="4">D60/B60</f>
        <v>9.6583333333333332</v>
      </c>
      <c r="D60" s="51">
        <f t="shared" ref="D60:D75" si="5">SUM(I60:T60)</f>
        <v>115.9</v>
      </c>
      <c r="E60" s="49">
        <v>314.77</v>
      </c>
      <c r="F60" s="49">
        <f t="shared" ref="F60:F76" si="6">E60/C60</f>
        <v>32.590509059534078</v>
      </c>
      <c r="G60" s="52">
        <f t="shared" ref="G60:G76" si="7">C60/E60</f>
        <v>3.0683779690991307E-2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11.1</v>
      </c>
      <c r="Q60" s="49">
        <v>47</v>
      </c>
      <c r="R60" s="49">
        <v>32.799999999999997</v>
      </c>
      <c r="S60" s="49">
        <v>0</v>
      </c>
      <c r="T60" s="49">
        <v>25</v>
      </c>
    </row>
    <row r="61" spans="1:20" s="53" customFormat="1" ht="15.75" customHeight="1" x14ac:dyDescent="0.25">
      <c r="A61" s="50">
        <v>1974</v>
      </c>
      <c r="B61" s="50">
        <v>12</v>
      </c>
      <c r="C61" s="51">
        <f t="shared" si="4"/>
        <v>4.0166666666666666</v>
      </c>
      <c r="D61" s="51">
        <f t="shared" si="5"/>
        <v>48.2</v>
      </c>
      <c r="E61" s="49">
        <v>314.77</v>
      </c>
      <c r="F61" s="49">
        <f t="shared" si="6"/>
        <v>78.365975103734442</v>
      </c>
      <c r="G61" s="52">
        <f t="shared" si="7"/>
        <v>1.2760640044053331E-2</v>
      </c>
      <c r="I61" s="49">
        <v>25</v>
      </c>
      <c r="J61" s="49">
        <v>23.2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50">
        <v>1975</v>
      </c>
      <c r="B62" s="50">
        <v>12</v>
      </c>
      <c r="C62" s="51">
        <f t="shared" si="4"/>
        <v>17.774999999999999</v>
      </c>
      <c r="D62" s="51">
        <f t="shared" si="5"/>
        <v>213.29999999999998</v>
      </c>
      <c r="E62" s="49">
        <v>314.77</v>
      </c>
      <c r="F62" s="49">
        <f t="shared" si="6"/>
        <v>17.70857946554149</v>
      </c>
      <c r="G62" s="52">
        <f t="shared" si="7"/>
        <v>5.6469803348476663E-2</v>
      </c>
      <c r="I62" s="49">
        <v>0</v>
      </c>
      <c r="J62" s="49">
        <v>0</v>
      </c>
      <c r="K62" s="49">
        <v>21.6</v>
      </c>
      <c r="L62" s="49">
        <v>27</v>
      </c>
      <c r="M62" s="49">
        <v>27</v>
      </c>
      <c r="N62" s="49">
        <v>27</v>
      </c>
      <c r="O62" s="49">
        <v>27</v>
      </c>
      <c r="P62" s="49">
        <v>27</v>
      </c>
      <c r="Q62" s="49">
        <v>27</v>
      </c>
      <c r="R62" s="49">
        <v>27</v>
      </c>
      <c r="S62" s="49">
        <v>2.7</v>
      </c>
      <c r="T62" s="49">
        <v>0</v>
      </c>
    </row>
    <row r="63" spans="1:20" s="53" customFormat="1" ht="15.75" customHeight="1" x14ac:dyDescent="0.25">
      <c r="A63" s="50">
        <v>1976</v>
      </c>
      <c r="B63" s="50">
        <v>12</v>
      </c>
      <c r="C63" s="51">
        <f t="shared" si="4"/>
        <v>8.6666666666666661</v>
      </c>
      <c r="D63" s="51">
        <f t="shared" si="5"/>
        <v>104</v>
      </c>
      <c r="E63" s="49">
        <v>314.77</v>
      </c>
      <c r="F63" s="49">
        <f t="shared" si="6"/>
        <v>36.319615384615382</v>
      </c>
      <c r="G63" s="52">
        <f t="shared" si="7"/>
        <v>2.7533331215384777E-2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52</v>
      </c>
      <c r="T63" s="49">
        <v>52</v>
      </c>
    </row>
    <row r="64" spans="1:20" s="53" customFormat="1" ht="15.75" customHeight="1" x14ac:dyDescent="0.25">
      <c r="A64" s="50">
        <v>1977</v>
      </c>
      <c r="B64" s="50">
        <v>12</v>
      </c>
      <c r="C64" s="51">
        <f t="shared" si="4"/>
        <v>8.6666666666666661</v>
      </c>
      <c r="D64" s="51">
        <f t="shared" si="5"/>
        <v>104</v>
      </c>
      <c r="E64" s="49">
        <v>314.77</v>
      </c>
      <c r="F64" s="49">
        <f t="shared" si="6"/>
        <v>36.319615384615382</v>
      </c>
      <c r="G64" s="52">
        <f t="shared" si="7"/>
        <v>2.7533331215384777E-2</v>
      </c>
      <c r="I64" s="49">
        <v>52</v>
      </c>
      <c r="J64" s="49">
        <v>52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1978</v>
      </c>
      <c r="B65" s="50">
        <v>12</v>
      </c>
      <c r="C65" s="51">
        <f t="shared" si="4"/>
        <v>37.666666666666664</v>
      </c>
      <c r="D65" s="51">
        <f t="shared" si="5"/>
        <v>452</v>
      </c>
      <c r="E65" s="49">
        <v>314.77</v>
      </c>
      <c r="F65" s="49">
        <f t="shared" si="6"/>
        <v>8.3567256637168139</v>
      </c>
      <c r="G65" s="52">
        <f t="shared" si="7"/>
        <v>0.1196640933591723</v>
      </c>
      <c r="I65" s="49">
        <v>0</v>
      </c>
      <c r="J65" s="49">
        <v>0</v>
      </c>
      <c r="K65" s="49">
        <v>56.5</v>
      </c>
      <c r="L65" s="49">
        <v>56.5</v>
      </c>
      <c r="M65" s="49">
        <v>56.5</v>
      </c>
      <c r="N65" s="49">
        <v>56.5</v>
      </c>
      <c r="O65" s="49">
        <v>56.5</v>
      </c>
      <c r="P65" s="49">
        <v>56.5</v>
      </c>
      <c r="Q65" s="49">
        <v>56.5</v>
      </c>
      <c r="R65" s="49">
        <v>56.5</v>
      </c>
      <c r="S65" s="49">
        <v>0</v>
      </c>
      <c r="T65" s="49">
        <v>0</v>
      </c>
    </row>
    <row r="66" spans="1:20" s="53" customFormat="1" ht="15.75" customHeight="1" x14ac:dyDescent="0.25">
      <c r="A66" s="50">
        <v>1979</v>
      </c>
      <c r="B66" s="50">
        <v>12</v>
      </c>
      <c r="C66" s="51">
        <f t="shared" si="4"/>
        <v>8.6666666666666661</v>
      </c>
      <c r="D66" s="51">
        <f t="shared" si="5"/>
        <v>104</v>
      </c>
      <c r="E66" s="49">
        <v>314.77</v>
      </c>
      <c r="F66" s="49">
        <f t="shared" si="6"/>
        <v>36.319615384615382</v>
      </c>
      <c r="G66" s="52">
        <f t="shared" si="7"/>
        <v>2.7533331215384777E-2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52</v>
      </c>
      <c r="T66" s="49">
        <v>52</v>
      </c>
    </row>
    <row r="67" spans="1:20" s="53" customFormat="1" ht="15.75" customHeight="1" x14ac:dyDescent="0.25">
      <c r="A67" s="50">
        <v>1980</v>
      </c>
      <c r="B67" s="50">
        <v>12</v>
      </c>
      <c r="C67" s="51">
        <f t="shared" si="4"/>
        <v>8.6666666666666661</v>
      </c>
      <c r="D67" s="51">
        <f>SUM(I67:T67)</f>
        <v>104</v>
      </c>
      <c r="E67" s="49">
        <v>314.77</v>
      </c>
      <c r="F67" s="49">
        <f t="shared" si="6"/>
        <v>36.319615384615382</v>
      </c>
      <c r="G67" s="52">
        <f t="shared" si="7"/>
        <v>2.7533331215384777E-2</v>
      </c>
      <c r="I67" s="49">
        <v>52</v>
      </c>
      <c r="J67" s="49">
        <v>52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1981</v>
      </c>
      <c r="B68" s="50">
        <v>12</v>
      </c>
      <c r="C68" s="51">
        <f t="shared" si="4"/>
        <v>37.666666666666664</v>
      </c>
      <c r="D68" s="51">
        <f>SUM(I68:T68)</f>
        <v>452</v>
      </c>
      <c r="E68" s="49">
        <v>314.77</v>
      </c>
      <c r="F68" s="49">
        <f t="shared" si="6"/>
        <v>8.3567256637168139</v>
      </c>
      <c r="G68" s="52">
        <f t="shared" si="7"/>
        <v>0.1196640933591723</v>
      </c>
      <c r="I68" s="49">
        <v>0</v>
      </c>
      <c r="J68" s="49">
        <v>0</v>
      </c>
      <c r="K68" s="49">
        <v>56.5</v>
      </c>
      <c r="L68" s="49">
        <v>56.5</v>
      </c>
      <c r="M68" s="49">
        <v>56.5</v>
      </c>
      <c r="N68" s="49">
        <v>56.5</v>
      </c>
      <c r="O68" s="49">
        <v>56.5</v>
      </c>
      <c r="P68" s="49">
        <v>56.5</v>
      </c>
      <c r="Q68" s="49">
        <v>56.5</v>
      </c>
      <c r="R68" s="49">
        <v>56.5</v>
      </c>
      <c r="S68" s="49">
        <v>0</v>
      </c>
      <c r="T68" s="49">
        <v>0</v>
      </c>
    </row>
    <row r="69" spans="1:20" s="53" customFormat="1" ht="15.75" customHeight="1" x14ac:dyDescent="0.25">
      <c r="A69" s="50">
        <v>1982</v>
      </c>
      <c r="B69" s="50">
        <v>12</v>
      </c>
      <c r="C69" s="51">
        <f t="shared" si="4"/>
        <v>10.166666666666666</v>
      </c>
      <c r="D69" s="51">
        <f t="shared" si="5"/>
        <v>122</v>
      </c>
      <c r="E69" s="49">
        <v>314.77</v>
      </c>
      <c r="F69" s="49">
        <f t="shared" si="6"/>
        <v>30.960983606557377</v>
      </c>
      <c r="G69" s="52">
        <f t="shared" si="7"/>
        <v>3.2298715464201377E-2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61</v>
      </c>
      <c r="T69" s="49">
        <v>61</v>
      </c>
    </row>
    <row r="70" spans="1:20" s="53" customFormat="1" ht="15.75" customHeight="1" x14ac:dyDescent="0.25">
      <c r="A70" s="50">
        <v>1983</v>
      </c>
      <c r="B70" s="50">
        <v>12</v>
      </c>
      <c r="C70" s="51">
        <f t="shared" si="4"/>
        <v>10.166666666666666</v>
      </c>
      <c r="D70" s="51">
        <f t="shared" si="5"/>
        <v>122</v>
      </c>
      <c r="E70" s="49">
        <v>314.77</v>
      </c>
      <c r="F70" s="49">
        <f t="shared" si="6"/>
        <v>30.960983606557377</v>
      </c>
      <c r="G70" s="52">
        <f t="shared" si="7"/>
        <v>3.2298715464201377E-2</v>
      </c>
      <c r="I70" s="49">
        <v>61</v>
      </c>
      <c r="J70" s="49">
        <v>61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1984</v>
      </c>
      <c r="B71" s="50">
        <v>12</v>
      </c>
      <c r="C71" s="51">
        <f t="shared" si="4"/>
        <v>42</v>
      </c>
      <c r="D71" s="51">
        <f t="shared" si="5"/>
        <v>504</v>
      </c>
      <c r="E71" s="49">
        <v>314.77</v>
      </c>
      <c r="F71" s="49">
        <f t="shared" si="6"/>
        <v>7.4945238095238089</v>
      </c>
      <c r="G71" s="52">
        <f t="shared" si="7"/>
        <v>0.13343075896686471</v>
      </c>
      <c r="I71" s="49">
        <v>0</v>
      </c>
      <c r="J71" s="49">
        <v>0</v>
      </c>
      <c r="K71" s="49">
        <v>63</v>
      </c>
      <c r="L71" s="49">
        <v>63</v>
      </c>
      <c r="M71" s="49">
        <v>63</v>
      </c>
      <c r="N71" s="49">
        <v>63</v>
      </c>
      <c r="O71" s="49">
        <v>63</v>
      </c>
      <c r="P71" s="49">
        <v>63</v>
      </c>
      <c r="Q71" s="49">
        <v>63</v>
      </c>
      <c r="R71" s="49">
        <v>63</v>
      </c>
      <c r="S71" s="49">
        <v>0</v>
      </c>
      <c r="T71" s="49">
        <v>0</v>
      </c>
    </row>
    <row r="72" spans="1:20" s="53" customFormat="1" ht="15.75" customHeight="1" x14ac:dyDescent="0.25">
      <c r="A72" s="50">
        <v>1985</v>
      </c>
      <c r="B72" s="50">
        <v>12</v>
      </c>
      <c r="C72" s="51">
        <f t="shared" si="4"/>
        <v>10</v>
      </c>
      <c r="D72" s="51">
        <f t="shared" si="5"/>
        <v>120</v>
      </c>
      <c r="E72" s="49">
        <v>314.77</v>
      </c>
      <c r="F72" s="49">
        <f t="shared" si="6"/>
        <v>31.476999999999997</v>
      </c>
      <c r="G72" s="52">
        <f t="shared" si="7"/>
        <v>3.1769228325443974E-2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60</v>
      </c>
      <c r="T72" s="49">
        <v>60</v>
      </c>
    </row>
    <row r="73" spans="1:20" s="53" customFormat="1" ht="15.75" customHeight="1" x14ac:dyDescent="0.25">
      <c r="A73" s="50">
        <v>1986</v>
      </c>
      <c r="B73" s="50">
        <v>12</v>
      </c>
      <c r="C73" s="51">
        <f t="shared" si="4"/>
        <v>10</v>
      </c>
      <c r="D73" s="51">
        <f t="shared" si="5"/>
        <v>120</v>
      </c>
      <c r="E73" s="49">
        <v>314.77</v>
      </c>
      <c r="F73" s="49">
        <f t="shared" si="6"/>
        <v>31.476999999999997</v>
      </c>
      <c r="G73" s="52">
        <f t="shared" si="7"/>
        <v>3.1769228325443974E-2</v>
      </c>
      <c r="I73" s="49">
        <v>60</v>
      </c>
      <c r="J73" s="49">
        <v>60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1987</v>
      </c>
      <c r="B74" s="50">
        <v>12</v>
      </c>
      <c r="C74" s="51">
        <f t="shared" si="4"/>
        <v>39.166666666666664</v>
      </c>
      <c r="D74" s="51">
        <f t="shared" si="5"/>
        <v>470</v>
      </c>
      <c r="E74" s="49">
        <v>314.77</v>
      </c>
      <c r="F74" s="49">
        <f t="shared" si="6"/>
        <v>8.0366808510638297</v>
      </c>
      <c r="G74" s="52">
        <f t="shared" si="7"/>
        <v>0.12442947760798891</v>
      </c>
      <c r="I74" s="49">
        <v>0</v>
      </c>
      <c r="J74" s="49">
        <v>0</v>
      </c>
      <c r="K74" s="49">
        <v>117.5</v>
      </c>
      <c r="L74" s="49">
        <v>117.5</v>
      </c>
      <c r="M74" s="49">
        <v>117.5</v>
      </c>
      <c r="N74" s="49">
        <v>117.5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0" s="53" customFormat="1" ht="15.75" customHeight="1" x14ac:dyDescent="0.25">
      <c r="A75" s="50">
        <v>1988</v>
      </c>
      <c r="B75" s="50">
        <v>12</v>
      </c>
      <c r="C75" s="51">
        <f t="shared" si="4"/>
        <v>0</v>
      </c>
      <c r="D75" s="51">
        <f t="shared" si="5"/>
        <v>0</v>
      </c>
      <c r="E75" s="49">
        <v>314.77</v>
      </c>
      <c r="F75" s="49" t="e">
        <f t="shared" si="6"/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0" s="53" customFormat="1" ht="15.75" customHeight="1" x14ac:dyDescent="0.25">
      <c r="A76" s="50">
        <v>1989</v>
      </c>
      <c r="B76" s="50">
        <v>12</v>
      </c>
      <c r="C76" s="51">
        <f t="shared" si="4"/>
        <v>25</v>
      </c>
      <c r="D76" s="51">
        <f>SUM(I76:T76)</f>
        <v>300</v>
      </c>
      <c r="E76" s="49">
        <v>314.77</v>
      </c>
      <c r="F76" s="49">
        <f t="shared" si="6"/>
        <v>12.5908</v>
      </c>
      <c r="G76" s="52">
        <f t="shared" si="7"/>
        <v>7.9423070813609942E-2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136.11000000000001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8.2249999999999996</v>
      </c>
      <c r="D94" s="51">
        <f t="shared" ref="D94:D97" si="13">SUM(I94:T94)</f>
        <v>98.699999999999989</v>
      </c>
      <c r="E94" s="49">
        <v>136.11000000000001</v>
      </c>
      <c r="F94" s="49">
        <f t="shared" ref="F94:F97" si="14">E94/C94</f>
        <v>16.548328267477206</v>
      </c>
      <c r="G94" s="52">
        <f t="shared" ref="G94:G97" si="15">C94/E94</f>
        <v>6.0429064727058987E-2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8.6</v>
      </c>
      <c r="O94" s="49">
        <v>63</v>
      </c>
      <c r="P94" s="49">
        <v>27</v>
      </c>
      <c r="Q94" s="49">
        <v>0</v>
      </c>
      <c r="R94" s="49">
        <v>0.1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0.9916666666666667</v>
      </c>
      <c r="D95" s="51">
        <f t="shared" si="13"/>
        <v>11.9</v>
      </c>
      <c r="E95" s="49">
        <v>136.11000000000001</v>
      </c>
      <c r="F95" s="49">
        <f t="shared" si="14"/>
        <v>137.25378151260506</v>
      </c>
      <c r="G95" s="52">
        <f t="shared" si="15"/>
        <v>7.2857737614184601E-3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2</v>
      </c>
      <c r="O95" s="49">
        <v>9.9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2.3916666666666666</v>
      </c>
      <c r="D96" s="51">
        <f t="shared" si="13"/>
        <v>28.7</v>
      </c>
      <c r="E96" s="49">
        <v>136.11000000000001</v>
      </c>
      <c r="F96" s="49">
        <f t="shared" si="14"/>
        <v>56.910104529616731</v>
      </c>
      <c r="G96" s="52">
        <f t="shared" si="15"/>
        <v>1.7571572012832756E-2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22.7</v>
      </c>
      <c r="P96" s="49">
        <v>6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2.1</v>
      </c>
      <c r="D97" s="51">
        <f t="shared" si="13"/>
        <v>25.2</v>
      </c>
      <c r="E97" s="49">
        <v>136.11000000000001</v>
      </c>
      <c r="F97" s="49">
        <f t="shared" si="14"/>
        <v>64.814285714285717</v>
      </c>
      <c r="G97" s="52">
        <f t="shared" si="15"/>
        <v>1.5428697377121445E-2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25.2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3.6666666666666665</v>
      </c>
      <c r="D98" s="51">
        <f t="shared" ref="D98:D107" si="17">SUM(I98:T98)</f>
        <v>44</v>
      </c>
      <c r="E98" s="49">
        <v>136.11000000000001</v>
      </c>
      <c r="F98" s="49">
        <f t="shared" ref="F98:F107" si="18">E98/C98</f>
        <v>37.120909090909095</v>
      </c>
      <c r="G98" s="52">
        <f t="shared" ref="G98:G107" si="19">C98/E98</f>
        <v>2.6938995420370773E-2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44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4.2333333333333334</v>
      </c>
      <c r="D99" s="51">
        <f t="shared" si="17"/>
        <v>50.800000000000004</v>
      </c>
      <c r="E99" s="49">
        <v>136.11000000000001</v>
      </c>
      <c r="F99" s="49">
        <f t="shared" si="18"/>
        <v>32.151968503937013</v>
      </c>
      <c r="G99" s="52">
        <f t="shared" si="19"/>
        <v>3.1102294712609897E-2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32.700000000000003</v>
      </c>
      <c r="T99" s="49">
        <v>18.100000000000001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4.8583333333333334</v>
      </c>
      <c r="D100" s="51">
        <f t="shared" si="17"/>
        <v>58.3</v>
      </c>
      <c r="E100" s="49">
        <v>136.11000000000001</v>
      </c>
      <c r="F100" s="49">
        <f t="shared" si="18"/>
        <v>28.015780445969128</v>
      </c>
      <c r="G100" s="52">
        <f t="shared" si="19"/>
        <v>3.5694168931991281E-2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58.3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3.8833333333333333</v>
      </c>
      <c r="D101" s="51">
        <f t="shared" si="17"/>
        <v>46.6</v>
      </c>
      <c r="E101" s="49">
        <v>136.11000000000001</v>
      </c>
      <c r="F101" s="49">
        <f t="shared" si="18"/>
        <v>35.049785407725324</v>
      </c>
      <c r="G101" s="52">
        <f t="shared" si="19"/>
        <v>2.8530845149756321E-2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46.6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2.6999999999999997</v>
      </c>
      <c r="D102" s="51">
        <f t="shared" si="17"/>
        <v>32.4</v>
      </c>
      <c r="E102" s="49">
        <v>136.11000000000001</v>
      </c>
      <c r="F102" s="49">
        <f t="shared" si="18"/>
        <v>50.411111111111119</v>
      </c>
      <c r="G102" s="52">
        <f t="shared" si="19"/>
        <v>1.9836896627727571E-2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32.4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4.2458333333333327</v>
      </c>
      <c r="D103" s="51">
        <f t="shared" si="17"/>
        <v>50.949999999999996</v>
      </c>
      <c r="E103" s="49">
        <v>136.11000000000001</v>
      </c>
      <c r="F103" s="49">
        <f t="shared" si="18"/>
        <v>32.057311089303248</v>
      </c>
      <c r="G103" s="52">
        <f t="shared" si="19"/>
        <v>3.1194132196997518E-2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23.8</v>
      </c>
      <c r="P103" s="49">
        <v>21.86</v>
      </c>
      <c r="Q103" s="49">
        <v>0</v>
      </c>
      <c r="R103" s="49">
        <v>5.29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2.5966666666666667</v>
      </c>
      <c r="D104" s="51">
        <f t="shared" si="17"/>
        <v>31.16</v>
      </c>
      <c r="E104" s="49">
        <v>136.11000000000001</v>
      </c>
      <c r="F104" s="49">
        <f t="shared" si="18"/>
        <v>52.417201540436459</v>
      </c>
      <c r="G104" s="52">
        <f t="shared" si="19"/>
        <v>1.9077706756789849E-2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31.16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2.2833333333333332</v>
      </c>
      <c r="D105" s="51">
        <f t="shared" si="17"/>
        <v>27.4</v>
      </c>
      <c r="E105" s="49">
        <v>136.11000000000001</v>
      </c>
      <c r="F105" s="49">
        <f t="shared" si="18"/>
        <v>59.610218978102196</v>
      </c>
      <c r="G105" s="52">
        <f t="shared" si="19"/>
        <v>1.6775647148139981E-2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27.4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4.0916666666666668</v>
      </c>
      <c r="D106" s="51">
        <f t="shared" si="17"/>
        <v>49.1</v>
      </c>
      <c r="E106" s="49">
        <v>136.11000000000001</v>
      </c>
      <c r="F106" s="49">
        <f t="shared" si="18"/>
        <v>33.265173116089613</v>
      </c>
      <c r="G106" s="52">
        <f t="shared" si="19"/>
        <v>3.0061469889550118E-2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31</v>
      </c>
      <c r="Q106" s="49">
        <v>0</v>
      </c>
      <c r="R106" s="49">
        <v>18.100000000000001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2.1225000000000001</v>
      </c>
      <c r="D107" s="51">
        <f t="shared" si="17"/>
        <v>25.47</v>
      </c>
      <c r="E107" s="49">
        <v>136.11000000000001</v>
      </c>
      <c r="F107" s="49">
        <f t="shared" si="18"/>
        <v>64.127208480565372</v>
      </c>
      <c r="G107" s="52">
        <f t="shared" si="19"/>
        <v>1.5594004849019174E-2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4.97</v>
      </c>
      <c r="Q107" s="49">
        <v>20.5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0</v>
      </c>
      <c r="D108" s="51">
        <f t="shared" ref="D108" si="21">SUM(I108:T108)</f>
        <v>0</v>
      </c>
      <c r="E108" s="49">
        <v>136.11000000000001</v>
      </c>
      <c r="F108" s="49" t="e">
        <f t="shared" ref="F108" si="22">E108/C108</f>
        <v>#DIV/0!</v>
      </c>
      <c r="G108" s="52">
        <f t="shared" ref="G108" si="23">C108/E108</f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6.1000000000000005</v>
      </c>
      <c r="D109" s="51">
        <f t="shared" ref="D109" si="25">SUM(I109:T109)</f>
        <v>73.2</v>
      </c>
      <c r="E109" s="49">
        <v>136.11000000000001</v>
      </c>
      <c r="F109" s="49">
        <f t="shared" ref="F109" si="26">E109/C109</f>
        <v>22.313114754098361</v>
      </c>
      <c r="G109" s="52">
        <f t="shared" ref="G109" si="27">C109/E109</f>
        <v>4.4816692381162294E-2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54.7</v>
      </c>
      <c r="R109" s="54">
        <v>18.5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2.5083333333333333</v>
      </c>
      <c r="D110" s="51">
        <f t="shared" ref="D110" si="29">SUM(I110:T110)</f>
        <v>30.1</v>
      </c>
      <c r="E110" s="49">
        <v>136.11000000000001</v>
      </c>
      <c r="F110" s="49">
        <f t="shared" ref="F110" si="30">E110/C110</f>
        <v>54.263122923588043</v>
      </c>
      <c r="G110" s="52">
        <f t="shared" ref="G110" si="31">C110/E110</f>
        <v>1.8428721867117279E-2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30.1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5.25</v>
      </c>
      <c r="D111" s="51">
        <f t="shared" ref="D111" si="33">SUM(I111:T111)</f>
        <v>63</v>
      </c>
      <c r="E111" s="49">
        <v>136.11000000000001</v>
      </c>
      <c r="F111" s="49">
        <f t="shared" ref="F111" si="34">E111/C111</f>
        <v>25.925714285714289</v>
      </c>
      <c r="G111" s="52">
        <f t="shared" ref="G111" si="35">C111/E111</f>
        <v>3.8571743442803612E-2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63</v>
      </c>
      <c r="T111" s="54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7.9666666666666659</v>
      </c>
      <c r="D112" s="51">
        <f t="shared" ref="D112" si="37">SUM(I112:T112)</f>
        <v>95.6</v>
      </c>
      <c r="E112" s="49">
        <v>136.11000000000001</v>
      </c>
      <c r="F112" s="49">
        <f t="shared" ref="F112" si="38">E112/C112</f>
        <v>17.084937238493726</v>
      </c>
      <c r="G112" s="52">
        <f t="shared" ref="G112" si="39">C112/E112</f>
        <v>5.8531090049714678E-2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6.4</v>
      </c>
      <c r="R112" s="54">
        <v>12.4</v>
      </c>
      <c r="S112" s="54">
        <v>76.8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1.3320312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2" style="56" customWidth="1"/>
    <col min="20" max="20" width="11.33203125" style="56" customWidth="1"/>
    <col min="21" max="16384" width="9.109375" style="40"/>
  </cols>
  <sheetData>
    <row r="1" spans="1:20" ht="15" x14ac:dyDescent="0.25">
      <c r="A1" s="120" t="s">
        <v>85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49">
        <v>314.77</v>
      </c>
      <c r="F59" s="14">
        <f t="shared" si="1"/>
        <v>8.7659317707124629</v>
      </c>
      <c r="G59" s="38">
        <f t="shared" si="2"/>
        <v>0.11407800404528175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50">
        <v>1973</v>
      </c>
      <c r="B60" s="50">
        <v>12</v>
      </c>
      <c r="C60" s="51">
        <f t="shared" ref="C60:C76" si="4">D60/B60</f>
        <v>9.6583333333333332</v>
      </c>
      <c r="D60" s="51">
        <f t="shared" ref="D60:D74" si="5">SUM(I60:T60)</f>
        <v>115.9</v>
      </c>
      <c r="E60" s="49">
        <v>314.77</v>
      </c>
      <c r="F60" s="49">
        <f t="shared" ref="F60:F76" si="6">E60/C60</f>
        <v>32.590509059534078</v>
      </c>
      <c r="G60" s="52">
        <f t="shared" ref="G60:G76" si="7">C60/E60</f>
        <v>3.0683779690991307E-2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11.1</v>
      </c>
      <c r="Q60" s="49">
        <v>47</v>
      </c>
      <c r="R60" s="49">
        <v>32.799999999999997</v>
      </c>
      <c r="S60" s="49">
        <v>0</v>
      </c>
      <c r="T60" s="49">
        <v>25</v>
      </c>
    </row>
    <row r="61" spans="1:20" s="53" customFormat="1" ht="15.75" customHeight="1" x14ac:dyDescent="0.25">
      <c r="A61" s="50">
        <v>1974</v>
      </c>
      <c r="B61" s="50">
        <v>12</v>
      </c>
      <c r="C61" s="51">
        <f t="shared" si="4"/>
        <v>4.0166666666666666</v>
      </c>
      <c r="D61" s="51">
        <f t="shared" si="5"/>
        <v>48.2</v>
      </c>
      <c r="E61" s="49">
        <v>314.77</v>
      </c>
      <c r="F61" s="49">
        <f t="shared" si="6"/>
        <v>78.365975103734442</v>
      </c>
      <c r="G61" s="52">
        <f t="shared" si="7"/>
        <v>1.2760640044053331E-2</v>
      </c>
      <c r="I61" s="49">
        <v>25</v>
      </c>
      <c r="J61" s="49">
        <v>23.2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50">
        <v>1975</v>
      </c>
      <c r="B62" s="50">
        <v>12</v>
      </c>
      <c r="C62" s="51">
        <f t="shared" si="4"/>
        <v>17.774999999999999</v>
      </c>
      <c r="D62" s="51">
        <f t="shared" si="5"/>
        <v>213.29999999999998</v>
      </c>
      <c r="E62" s="49">
        <v>314.77</v>
      </c>
      <c r="F62" s="49">
        <f t="shared" si="6"/>
        <v>17.70857946554149</v>
      </c>
      <c r="G62" s="52">
        <f t="shared" si="7"/>
        <v>5.6469803348476663E-2</v>
      </c>
      <c r="I62" s="49">
        <v>0</v>
      </c>
      <c r="J62" s="49">
        <v>0</v>
      </c>
      <c r="K62" s="49">
        <v>21.6</v>
      </c>
      <c r="L62" s="49">
        <v>27</v>
      </c>
      <c r="M62" s="49">
        <v>27</v>
      </c>
      <c r="N62" s="49">
        <v>27</v>
      </c>
      <c r="O62" s="49">
        <v>27</v>
      </c>
      <c r="P62" s="49">
        <v>27</v>
      </c>
      <c r="Q62" s="49">
        <v>27</v>
      </c>
      <c r="R62" s="49">
        <v>27</v>
      </c>
      <c r="S62" s="49">
        <v>2.7</v>
      </c>
      <c r="T62" s="49">
        <v>0</v>
      </c>
    </row>
    <row r="63" spans="1:20" s="53" customFormat="1" ht="15.75" customHeight="1" x14ac:dyDescent="0.25">
      <c r="A63" s="50">
        <v>1976</v>
      </c>
      <c r="B63" s="50">
        <v>12</v>
      </c>
      <c r="C63" s="51">
        <f t="shared" si="4"/>
        <v>8.6666666666666661</v>
      </c>
      <c r="D63" s="51">
        <f t="shared" si="5"/>
        <v>104</v>
      </c>
      <c r="E63" s="49">
        <v>314.77</v>
      </c>
      <c r="F63" s="49">
        <f t="shared" si="6"/>
        <v>36.319615384615382</v>
      </c>
      <c r="G63" s="52">
        <f t="shared" si="7"/>
        <v>2.7533331215384777E-2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52</v>
      </c>
      <c r="T63" s="49">
        <v>52</v>
      </c>
    </row>
    <row r="64" spans="1:20" s="53" customFormat="1" ht="15.75" customHeight="1" x14ac:dyDescent="0.25">
      <c r="A64" s="50">
        <v>1977</v>
      </c>
      <c r="B64" s="50">
        <v>12</v>
      </c>
      <c r="C64" s="51">
        <f t="shared" si="4"/>
        <v>8.6666666666666661</v>
      </c>
      <c r="D64" s="51">
        <f t="shared" si="5"/>
        <v>104</v>
      </c>
      <c r="E64" s="49">
        <v>314.77</v>
      </c>
      <c r="F64" s="49">
        <f t="shared" si="6"/>
        <v>36.319615384615382</v>
      </c>
      <c r="G64" s="52">
        <f t="shared" si="7"/>
        <v>2.7533331215384777E-2</v>
      </c>
      <c r="I64" s="49">
        <v>52</v>
      </c>
      <c r="J64" s="49">
        <v>52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1978</v>
      </c>
      <c r="B65" s="50">
        <v>12</v>
      </c>
      <c r="C65" s="51">
        <f t="shared" si="4"/>
        <v>37.666666666666664</v>
      </c>
      <c r="D65" s="51">
        <f t="shared" si="5"/>
        <v>452</v>
      </c>
      <c r="E65" s="49">
        <v>314.77</v>
      </c>
      <c r="F65" s="49">
        <f t="shared" si="6"/>
        <v>8.3567256637168139</v>
      </c>
      <c r="G65" s="52">
        <f t="shared" si="7"/>
        <v>0.1196640933591723</v>
      </c>
      <c r="I65" s="49">
        <v>0</v>
      </c>
      <c r="J65" s="49">
        <v>0</v>
      </c>
      <c r="K65" s="49">
        <v>56.5</v>
      </c>
      <c r="L65" s="49">
        <v>56.5</v>
      </c>
      <c r="M65" s="49">
        <v>56.5</v>
      </c>
      <c r="N65" s="49">
        <v>56.5</v>
      </c>
      <c r="O65" s="49">
        <v>56.5</v>
      </c>
      <c r="P65" s="49">
        <v>56.5</v>
      </c>
      <c r="Q65" s="49">
        <v>56.5</v>
      </c>
      <c r="R65" s="49">
        <v>56.5</v>
      </c>
      <c r="S65" s="49">
        <v>0</v>
      </c>
      <c r="T65" s="49">
        <v>0</v>
      </c>
    </row>
    <row r="66" spans="1:20" s="53" customFormat="1" ht="15.75" customHeight="1" x14ac:dyDescent="0.25">
      <c r="A66" s="50">
        <v>1979</v>
      </c>
      <c r="B66" s="50">
        <v>12</v>
      </c>
      <c r="C66" s="51">
        <f t="shared" si="4"/>
        <v>8.6666666666666661</v>
      </c>
      <c r="D66" s="51">
        <f t="shared" si="5"/>
        <v>104</v>
      </c>
      <c r="E66" s="49">
        <v>314.77</v>
      </c>
      <c r="F66" s="49">
        <f t="shared" si="6"/>
        <v>36.319615384615382</v>
      </c>
      <c r="G66" s="52">
        <f t="shared" si="7"/>
        <v>2.7533331215384777E-2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52</v>
      </c>
      <c r="T66" s="49">
        <v>52</v>
      </c>
    </row>
    <row r="67" spans="1:20" s="53" customFormat="1" ht="15.75" customHeight="1" x14ac:dyDescent="0.25">
      <c r="A67" s="50">
        <v>1980</v>
      </c>
      <c r="B67" s="50">
        <v>12</v>
      </c>
      <c r="C67" s="51">
        <f t="shared" si="4"/>
        <v>8.6666666666666661</v>
      </c>
      <c r="D67" s="51">
        <f>SUM(I67:T67)</f>
        <v>104</v>
      </c>
      <c r="E67" s="49">
        <v>314.77</v>
      </c>
      <c r="F67" s="49">
        <f t="shared" si="6"/>
        <v>36.319615384615382</v>
      </c>
      <c r="G67" s="52">
        <f t="shared" si="7"/>
        <v>2.7533331215384777E-2</v>
      </c>
      <c r="I67" s="49">
        <v>52</v>
      </c>
      <c r="J67" s="49">
        <v>52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1981</v>
      </c>
      <c r="B68" s="50">
        <v>12</v>
      </c>
      <c r="C68" s="51">
        <f t="shared" si="4"/>
        <v>37.666666666666664</v>
      </c>
      <c r="D68" s="51">
        <f>SUM(I68:T68)</f>
        <v>452</v>
      </c>
      <c r="E68" s="49">
        <v>314.77</v>
      </c>
      <c r="F68" s="49">
        <f t="shared" si="6"/>
        <v>8.3567256637168139</v>
      </c>
      <c r="G68" s="52">
        <f t="shared" si="7"/>
        <v>0.1196640933591723</v>
      </c>
      <c r="I68" s="49">
        <v>0</v>
      </c>
      <c r="J68" s="49">
        <v>0</v>
      </c>
      <c r="K68" s="49">
        <v>56.5</v>
      </c>
      <c r="L68" s="49">
        <v>56.5</v>
      </c>
      <c r="M68" s="49">
        <v>56.5</v>
      </c>
      <c r="N68" s="49">
        <v>56.5</v>
      </c>
      <c r="O68" s="49">
        <v>56.5</v>
      </c>
      <c r="P68" s="49">
        <v>56.5</v>
      </c>
      <c r="Q68" s="49">
        <v>56.5</v>
      </c>
      <c r="R68" s="49">
        <v>56.5</v>
      </c>
      <c r="S68" s="49">
        <v>0</v>
      </c>
      <c r="T68" s="49">
        <v>0</v>
      </c>
    </row>
    <row r="69" spans="1:20" s="53" customFormat="1" ht="15.75" customHeight="1" x14ac:dyDescent="0.25">
      <c r="A69" s="50">
        <v>1982</v>
      </c>
      <c r="B69" s="50">
        <v>12</v>
      </c>
      <c r="C69" s="51">
        <f t="shared" si="4"/>
        <v>10.166666666666666</v>
      </c>
      <c r="D69" s="51">
        <f t="shared" si="5"/>
        <v>122</v>
      </c>
      <c r="E69" s="49">
        <v>314.77</v>
      </c>
      <c r="F69" s="49">
        <f t="shared" si="6"/>
        <v>30.960983606557377</v>
      </c>
      <c r="G69" s="52">
        <f t="shared" si="7"/>
        <v>3.2298715464201377E-2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61</v>
      </c>
      <c r="T69" s="49">
        <v>61</v>
      </c>
    </row>
    <row r="70" spans="1:20" s="53" customFormat="1" ht="15.75" customHeight="1" x14ac:dyDescent="0.25">
      <c r="A70" s="50">
        <v>1983</v>
      </c>
      <c r="B70" s="50">
        <v>12</v>
      </c>
      <c r="C70" s="51">
        <f t="shared" si="4"/>
        <v>10.166666666666666</v>
      </c>
      <c r="D70" s="51">
        <f t="shared" si="5"/>
        <v>122</v>
      </c>
      <c r="E70" s="49">
        <v>314.77</v>
      </c>
      <c r="F70" s="49">
        <f t="shared" si="6"/>
        <v>30.960983606557377</v>
      </c>
      <c r="G70" s="52">
        <f t="shared" si="7"/>
        <v>3.2298715464201377E-2</v>
      </c>
      <c r="I70" s="49">
        <v>61</v>
      </c>
      <c r="J70" s="49">
        <v>61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1984</v>
      </c>
      <c r="B71" s="50">
        <v>12</v>
      </c>
      <c r="C71" s="51">
        <f t="shared" si="4"/>
        <v>42</v>
      </c>
      <c r="D71" s="51">
        <f t="shared" si="5"/>
        <v>504</v>
      </c>
      <c r="E71" s="49">
        <v>314.77</v>
      </c>
      <c r="F71" s="49">
        <f t="shared" si="6"/>
        <v>7.4945238095238089</v>
      </c>
      <c r="G71" s="52">
        <f t="shared" si="7"/>
        <v>0.13343075896686471</v>
      </c>
      <c r="I71" s="49">
        <v>0</v>
      </c>
      <c r="J71" s="49">
        <v>0</v>
      </c>
      <c r="K71" s="49">
        <v>63</v>
      </c>
      <c r="L71" s="49">
        <v>63</v>
      </c>
      <c r="M71" s="49">
        <v>63</v>
      </c>
      <c r="N71" s="49">
        <v>63</v>
      </c>
      <c r="O71" s="49">
        <v>63</v>
      </c>
      <c r="P71" s="49">
        <v>63</v>
      </c>
      <c r="Q71" s="49">
        <v>63</v>
      </c>
      <c r="R71" s="49">
        <v>63</v>
      </c>
      <c r="S71" s="49">
        <v>0</v>
      </c>
      <c r="T71" s="49">
        <v>0</v>
      </c>
    </row>
    <row r="72" spans="1:20" s="53" customFormat="1" ht="15.75" customHeight="1" x14ac:dyDescent="0.25">
      <c r="A72" s="50">
        <v>1985</v>
      </c>
      <c r="B72" s="50">
        <v>12</v>
      </c>
      <c r="C72" s="51">
        <f t="shared" si="4"/>
        <v>10</v>
      </c>
      <c r="D72" s="51">
        <f t="shared" si="5"/>
        <v>120</v>
      </c>
      <c r="E72" s="49">
        <v>314.77</v>
      </c>
      <c r="F72" s="49">
        <f t="shared" si="6"/>
        <v>31.476999999999997</v>
      </c>
      <c r="G72" s="52">
        <f t="shared" si="7"/>
        <v>3.1769228325443974E-2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60</v>
      </c>
      <c r="T72" s="49">
        <v>60</v>
      </c>
    </row>
    <row r="73" spans="1:20" s="53" customFormat="1" ht="15.75" customHeight="1" x14ac:dyDescent="0.25">
      <c r="A73" s="50">
        <v>1986</v>
      </c>
      <c r="B73" s="50">
        <v>12</v>
      </c>
      <c r="C73" s="51">
        <f t="shared" si="4"/>
        <v>10</v>
      </c>
      <c r="D73" s="51">
        <f t="shared" si="5"/>
        <v>120</v>
      </c>
      <c r="E73" s="49">
        <v>314.77</v>
      </c>
      <c r="F73" s="49">
        <f t="shared" si="6"/>
        <v>31.476999999999997</v>
      </c>
      <c r="G73" s="52">
        <f t="shared" si="7"/>
        <v>3.1769228325443974E-2</v>
      </c>
      <c r="I73" s="49">
        <v>60</v>
      </c>
      <c r="J73" s="49">
        <v>60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1987</v>
      </c>
      <c r="B74" s="50">
        <v>12</v>
      </c>
      <c r="C74" s="51">
        <f t="shared" si="4"/>
        <v>39.166666666666664</v>
      </c>
      <c r="D74" s="51">
        <f t="shared" si="5"/>
        <v>470</v>
      </c>
      <c r="E74" s="49">
        <v>314.77</v>
      </c>
      <c r="F74" s="49">
        <f t="shared" si="6"/>
        <v>8.0366808510638297</v>
      </c>
      <c r="G74" s="52">
        <f t="shared" si="7"/>
        <v>0.12442947760798891</v>
      </c>
      <c r="I74" s="49">
        <v>0</v>
      </c>
      <c r="J74" s="49">
        <v>0</v>
      </c>
      <c r="K74" s="49">
        <v>117.5</v>
      </c>
      <c r="L74" s="49">
        <v>117.5</v>
      </c>
      <c r="M74" s="49">
        <v>117.5</v>
      </c>
      <c r="N74" s="49">
        <v>117.5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0" s="53" customFormat="1" ht="15.75" customHeight="1" x14ac:dyDescent="0.25">
      <c r="A75" s="50">
        <v>1988</v>
      </c>
      <c r="B75" s="50">
        <v>12</v>
      </c>
      <c r="C75" s="51">
        <f>D75/B75</f>
        <v>0</v>
      </c>
      <c r="D75" s="51">
        <f>SUM(I75:T75)</f>
        <v>0</v>
      </c>
      <c r="E75" s="49">
        <v>314.77</v>
      </c>
      <c r="F75" s="49" t="e">
        <f>E75/C75</f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0" s="53" customFormat="1" ht="15.75" customHeight="1" x14ac:dyDescent="0.25">
      <c r="A76" s="50">
        <v>1989</v>
      </c>
      <c r="B76" s="50">
        <v>12</v>
      </c>
      <c r="C76" s="51">
        <f t="shared" si="4"/>
        <v>25</v>
      </c>
      <c r="D76" s="51">
        <f>SUM(I76:T76)</f>
        <v>300</v>
      </c>
      <c r="E76" s="49">
        <v>314.77</v>
      </c>
      <c r="F76" s="49">
        <f t="shared" si="6"/>
        <v>12.5908</v>
      </c>
      <c r="G76" s="52">
        <f t="shared" si="7"/>
        <v>7.9423070813609942E-2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178.66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1.7416666666666669</v>
      </c>
      <c r="D94" s="51">
        <f t="shared" ref="D94:D97" si="13">SUM(I94:T94)</f>
        <v>20.900000000000002</v>
      </c>
      <c r="E94" s="49">
        <v>178.66</v>
      </c>
      <c r="F94" s="49">
        <f t="shared" ref="F94:F97" si="14">E94/C94</f>
        <v>102.57990430622007</v>
      </c>
      <c r="G94" s="52">
        <f t="shared" ref="G94:G97" si="15">C94/E94</f>
        <v>9.7484980782865053E-3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6.2</v>
      </c>
      <c r="P94" s="49">
        <v>14.6</v>
      </c>
      <c r="Q94" s="49">
        <v>0</v>
      </c>
      <c r="R94" s="49">
        <v>0.1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5.0666666666666664</v>
      </c>
      <c r="D95" s="51">
        <f t="shared" si="13"/>
        <v>60.8</v>
      </c>
      <c r="E95" s="49">
        <v>178.66</v>
      </c>
      <c r="F95" s="49">
        <f t="shared" si="14"/>
        <v>35.261842105263156</v>
      </c>
      <c r="G95" s="52">
        <f t="shared" si="15"/>
        <v>2.8359267136833462E-2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17</v>
      </c>
      <c r="P95" s="49">
        <v>0</v>
      </c>
      <c r="Q95" s="49">
        <v>6.5</v>
      </c>
      <c r="R95" s="49">
        <v>28</v>
      </c>
      <c r="S95" s="49">
        <v>9.3000000000000007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2.3916666666666666</v>
      </c>
      <c r="D96" s="51">
        <f t="shared" si="13"/>
        <v>28.7</v>
      </c>
      <c r="E96" s="49">
        <v>178.66</v>
      </c>
      <c r="F96" s="49">
        <f t="shared" si="14"/>
        <v>74.701045296167251</v>
      </c>
      <c r="G96" s="52">
        <f t="shared" si="15"/>
        <v>1.3386693533340797E-2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22</v>
      </c>
      <c r="Q96" s="49">
        <v>6.7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1.5416666666666667</v>
      </c>
      <c r="D97" s="51">
        <f t="shared" si="13"/>
        <v>18.5</v>
      </c>
      <c r="E97" s="49">
        <v>178.66</v>
      </c>
      <c r="F97" s="49">
        <f t="shared" si="14"/>
        <v>115.88756756756756</v>
      </c>
      <c r="G97" s="52">
        <f t="shared" si="15"/>
        <v>8.6290533228851832E-3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7.9</v>
      </c>
      <c r="P97" s="49">
        <v>10.6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1.4083333333333332</v>
      </c>
      <c r="D98" s="51">
        <f t="shared" ref="D98:D107" si="17">SUM(I98:T98)</f>
        <v>16.899999999999999</v>
      </c>
      <c r="E98" s="49">
        <v>178.66</v>
      </c>
      <c r="F98" s="49">
        <f t="shared" ref="F98:F107" si="18">E98/C98</f>
        <v>126.85917159763315</v>
      </c>
      <c r="G98" s="52">
        <f t="shared" ref="G98:G107" si="19">C98/E98</f>
        <v>7.8827568192843013E-3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14.7</v>
      </c>
      <c r="S98" s="49">
        <v>2.2000000000000002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>SUM(I99:T99)</f>
        <v>0</v>
      </c>
      <c r="E99" s="49">
        <v>178.66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7.53</v>
      </c>
      <c r="D100" s="51">
        <f t="shared" si="17"/>
        <v>90.36</v>
      </c>
      <c r="E100" s="49">
        <v>178.66</v>
      </c>
      <c r="F100" s="49">
        <f t="shared" si="18"/>
        <v>23.726427622841964</v>
      </c>
      <c r="G100" s="52">
        <f t="shared" si="19"/>
        <v>4.2147095040859735E-2</v>
      </c>
      <c r="I100" s="49">
        <v>60.96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29.4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0.68333333333333324</v>
      </c>
      <c r="D101" s="51">
        <f t="shared" si="17"/>
        <v>8.1999999999999993</v>
      </c>
      <c r="E101" s="49">
        <v>178.66</v>
      </c>
      <c r="F101" s="49">
        <f t="shared" si="18"/>
        <v>261.45365853658541</v>
      </c>
      <c r="G101" s="52">
        <f t="shared" si="19"/>
        <v>3.8247695809545128E-3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8.1999999999999993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4.291666666666667</v>
      </c>
      <c r="D102" s="51">
        <f t="shared" si="17"/>
        <v>51.5</v>
      </c>
      <c r="E102" s="49">
        <v>178.66</v>
      </c>
      <c r="F102" s="49">
        <f t="shared" si="18"/>
        <v>41.629514563106795</v>
      </c>
      <c r="G102" s="52">
        <f t="shared" si="19"/>
        <v>2.4021418709653346E-2</v>
      </c>
      <c r="I102" s="49">
        <v>13.7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37.799999999999997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2.2050000000000001</v>
      </c>
      <c r="D103" s="51">
        <f t="shared" si="17"/>
        <v>26.46</v>
      </c>
      <c r="E103" s="49">
        <v>178.66</v>
      </c>
      <c r="F103" s="49">
        <f t="shared" si="18"/>
        <v>81.024943310657591</v>
      </c>
      <c r="G103" s="52">
        <f t="shared" si="19"/>
        <v>1.2341878428299565E-2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26.46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2.7641666666666667</v>
      </c>
      <c r="D104" s="51">
        <f t="shared" si="17"/>
        <v>33.17</v>
      </c>
      <c r="E104" s="49">
        <v>178.66</v>
      </c>
      <c r="F104" s="49">
        <f t="shared" si="18"/>
        <v>64.634308109737717</v>
      </c>
      <c r="G104" s="52">
        <f t="shared" si="19"/>
        <v>1.5471659390275757E-2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24.67</v>
      </c>
      <c r="Q104" s="49">
        <v>8.5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2.7416666666666667</v>
      </c>
      <c r="D105" s="51">
        <f t="shared" si="17"/>
        <v>32.9</v>
      </c>
      <c r="E105" s="49">
        <v>178.66</v>
      </c>
      <c r="F105" s="49">
        <f t="shared" si="18"/>
        <v>65.164741641337386</v>
      </c>
      <c r="G105" s="52">
        <f t="shared" si="19"/>
        <v>1.5345721855293109E-2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32.9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3.0666666666666664</v>
      </c>
      <c r="D106" s="51">
        <f t="shared" si="17"/>
        <v>36.799999999999997</v>
      </c>
      <c r="E106" s="49">
        <v>178.66</v>
      </c>
      <c r="F106" s="49">
        <f t="shared" si="18"/>
        <v>58.25869565217392</v>
      </c>
      <c r="G106" s="52">
        <f t="shared" si="19"/>
        <v>1.7164819582820255E-2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15.5</v>
      </c>
      <c r="Q106" s="49">
        <v>21.3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2.2749999999999999</v>
      </c>
      <c r="D107" s="51">
        <f t="shared" si="17"/>
        <v>27.3</v>
      </c>
      <c r="E107" s="49">
        <v>178.66</v>
      </c>
      <c r="F107" s="49">
        <f t="shared" si="18"/>
        <v>78.531868131868137</v>
      </c>
      <c r="G107" s="52">
        <f t="shared" si="19"/>
        <v>1.2733684092690026E-2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27.3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2.6416666666666666</v>
      </c>
      <c r="D108" s="51">
        <f t="shared" ref="D108" si="21">SUM(I108:T108)</f>
        <v>31.7</v>
      </c>
      <c r="E108" s="49">
        <v>178.66</v>
      </c>
      <c r="F108" s="49">
        <f t="shared" ref="F108" si="22">E108/C108</f>
        <v>67.631545741324928</v>
      </c>
      <c r="G108" s="52">
        <f t="shared" ref="G108" si="23">C108/E108</f>
        <v>1.4785999477592448E-2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31.7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3.3083333333333336</v>
      </c>
      <c r="D109" s="51">
        <f t="shared" ref="D109" si="25">SUM(I109:T109)</f>
        <v>39.700000000000003</v>
      </c>
      <c r="E109" s="49">
        <v>178.66</v>
      </c>
      <c r="F109" s="49">
        <f t="shared" ref="F109" si="26">E109/C109</f>
        <v>54.003022670025182</v>
      </c>
      <c r="G109" s="52">
        <f t="shared" ref="G109" si="27">C109/E109</f>
        <v>1.8517481995596854E-2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10.6</v>
      </c>
      <c r="P109" s="54">
        <v>29.1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0.8833333333333333</v>
      </c>
      <c r="D110" s="51">
        <f t="shared" ref="D110" si="29">SUM(I110:T110)</f>
        <v>10.6</v>
      </c>
      <c r="E110" s="49">
        <v>178.66</v>
      </c>
      <c r="F110" s="49">
        <f t="shared" ref="F110" si="30">E110/C110</f>
        <v>202.25660377358491</v>
      </c>
      <c r="G110" s="52">
        <f t="shared" ref="G110" si="31">C110/E110</f>
        <v>4.9442143363558344E-3</v>
      </c>
      <c r="I110" s="54">
        <v>10.6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4.153225806451613</v>
      </c>
      <c r="D111" s="51">
        <f t="shared" ref="D111" si="33">SUM(I111:T111)</f>
        <v>49.838709677419352</v>
      </c>
      <c r="E111" s="49">
        <v>178.66</v>
      </c>
      <c r="F111" s="49">
        <f t="shared" ref="F111" si="34">E111/C111</f>
        <v>43.017165048543688</v>
      </c>
      <c r="G111" s="52">
        <f t="shared" ref="G111" si="35">C111/E111</f>
        <v>2.32465342351484E-2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34.838709677419352</v>
      </c>
      <c r="S111" s="54">
        <v>15</v>
      </c>
      <c r="T111" s="54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4.9000000000000004</v>
      </c>
      <c r="D112" s="51">
        <f t="shared" ref="D112" si="37">SUM(I112:T112)</f>
        <v>58.800000000000004</v>
      </c>
      <c r="E112" s="49">
        <v>178.66</v>
      </c>
      <c r="F112" s="49">
        <f t="shared" ref="F112" si="38">E112/C112</f>
        <v>36.461224489795917</v>
      </c>
      <c r="G112" s="52">
        <f t="shared" ref="G112" si="39">C112/E112</f>
        <v>2.7426396507332366E-2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6.2</v>
      </c>
      <c r="P112" s="54">
        <v>52.6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12"/>
  <sheetViews>
    <sheetView zoomScale="80" zoomScaleNormal="80" workbookViewId="0">
      <pane ySplit="1560" topLeftCell="A77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441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33203125" style="56" customWidth="1"/>
    <col min="20" max="20" width="12" style="56" customWidth="1"/>
    <col min="21" max="16384" width="9.109375" style="40"/>
  </cols>
  <sheetData>
    <row r="1" spans="1:20" ht="17.25" customHeight="1" x14ac:dyDescent="0.25">
      <c r="A1" s="120" t="s">
        <v>86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1.5" customHeight="1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62">
        <v>150</v>
      </c>
      <c r="T76" s="62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2.3916666666666666</v>
      </c>
      <c r="D93" s="51">
        <f>SUM(I93:T93)</f>
        <v>28.7</v>
      </c>
      <c r="E93" s="49">
        <v>183.52</v>
      </c>
      <c r="F93" s="49">
        <f>E93/C93</f>
        <v>76.733101045296166</v>
      </c>
      <c r="G93" s="52">
        <f>C93/E93</f>
        <v>1.3032185411217668E-2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28.7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2.1333333333333333</v>
      </c>
      <c r="D94" s="51">
        <f t="shared" ref="D94:D97" si="13">SUM(I94:T94)</f>
        <v>25.599999999999998</v>
      </c>
      <c r="E94" s="49">
        <v>183.52</v>
      </c>
      <c r="F94" s="49">
        <f t="shared" ref="F94:F97" si="14">E94/C94</f>
        <v>86.025000000000006</v>
      </c>
      <c r="G94" s="52">
        <f t="shared" ref="G94:G97" si="15">C94/E94</f>
        <v>1.162452775356001E-2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22.9</v>
      </c>
      <c r="P94" s="49">
        <v>2.7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4.083333333333333</v>
      </c>
      <c r="D95" s="51">
        <f t="shared" si="13"/>
        <v>49</v>
      </c>
      <c r="E95" s="49">
        <v>183.52</v>
      </c>
      <c r="F95" s="49">
        <f t="shared" si="14"/>
        <v>44.943673469387761</v>
      </c>
      <c r="G95" s="52">
        <f t="shared" si="15"/>
        <v>2.2250072653298456E-2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23.1</v>
      </c>
      <c r="P95" s="49">
        <v>0</v>
      </c>
      <c r="Q95" s="49">
        <v>0</v>
      </c>
      <c r="R95" s="49">
        <v>0</v>
      </c>
      <c r="S95" s="49">
        <v>18.7</v>
      </c>
      <c r="T95" s="49">
        <v>7.2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3.1583333333333332</v>
      </c>
      <c r="D96" s="51">
        <f t="shared" si="13"/>
        <v>37.9</v>
      </c>
      <c r="E96" s="49">
        <v>183.52</v>
      </c>
      <c r="F96" s="49">
        <f t="shared" si="14"/>
        <v>58.10659630606861</v>
      </c>
      <c r="G96" s="52">
        <f t="shared" si="15"/>
        <v>1.7209750072653296E-2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25.2</v>
      </c>
      <c r="Q96" s="49">
        <v>12.7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2.5833333333333335</v>
      </c>
      <c r="D97" s="51">
        <f t="shared" si="13"/>
        <v>31</v>
      </c>
      <c r="E97" s="49">
        <v>183.52</v>
      </c>
      <c r="F97" s="49">
        <f t="shared" si="14"/>
        <v>71.040000000000006</v>
      </c>
      <c r="G97" s="52">
        <f t="shared" si="15"/>
        <v>1.4076576576576577E-2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7.5</v>
      </c>
      <c r="Q97" s="49">
        <v>23.5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1.8083333333333333</v>
      </c>
      <c r="D98" s="51">
        <f t="shared" ref="D98:D107" si="17">SUM(I98:T98)</f>
        <v>21.7</v>
      </c>
      <c r="E98" s="49">
        <v>183.52</v>
      </c>
      <c r="F98" s="49">
        <f t="shared" ref="F98:F107" si="18">E98/C98</f>
        <v>101.48571428571429</v>
      </c>
      <c r="G98" s="52">
        <f t="shared" ref="G98:G107" si="19">C98/E98</f>
        <v>9.8536036036036036E-3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21.7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183.52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10.5</v>
      </c>
      <c r="D100" s="51">
        <f t="shared" si="17"/>
        <v>126</v>
      </c>
      <c r="E100" s="49">
        <v>183.52</v>
      </c>
      <c r="F100" s="49">
        <f t="shared" si="18"/>
        <v>17.478095238095239</v>
      </c>
      <c r="G100" s="52">
        <f t="shared" si="19"/>
        <v>5.7214472537053182E-2</v>
      </c>
      <c r="I100" s="49">
        <v>2.2999999999999998</v>
      </c>
      <c r="J100" s="49">
        <v>65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58.7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183.52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5.375</v>
      </c>
      <c r="D102" s="51">
        <f t="shared" si="17"/>
        <v>64.5</v>
      </c>
      <c r="E102" s="49">
        <v>183.52</v>
      </c>
      <c r="F102" s="49">
        <f t="shared" si="18"/>
        <v>34.143255813953488</v>
      </c>
      <c r="G102" s="52">
        <f t="shared" si="19"/>
        <v>2.9288360941586745E-2</v>
      </c>
      <c r="I102" s="49">
        <v>60.2</v>
      </c>
      <c r="J102" s="49">
        <v>4.3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2.2041666666666666</v>
      </c>
      <c r="D103" s="51">
        <f t="shared" si="17"/>
        <v>26.45</v>
      </c>
      <c r="E103" s="49">
        <v>183.52</v>
      </c>
      <c r="F103" s="49">
        <f t="shared" si="18"/>
        <v>83.260491493383753</v>
      </c>
      <c r="G103" s="52">
        <f t="shared" si="19"/>
        <v>1.2010498401627432E-2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26.45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2.2849166666666667</v>
      </c>
      <c r="D104" s="51">
        <f t="shared" si="17"/>
        <v>27.419</v>
      </c>
      <c r="E104" s="49">
        <v>183.52</v>
      </c>
      <c r="F104" s="49">
        <f t="shared" si="18"/>
        <v>80.318027645063651</v>
      </c>
      <c r="G104" s="52">
        <f t="shared" si="19"/>
        <v>1.2450504940424295E-2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27.419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2.7916666666666665</v>
      </c>
      <c r="D105" s="51">
        <f t="shared" si="17"/>
        <v>33.5</v>
      </c>
      <c r="E105" s="49">
        <v>183.52</v>
      </c>
      <c r="F105" s="49">
        <f t="shared" si="18"/>
        <v>65.73850746268657</v>
      </c>
      <c r="G105" s="52">
        <f t="shared" si="19"/>
        <v>1.521178436501017E-2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13.7</v>
      </c>
      <c r="Q105" s="49">
        <v>19.8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4.083333333333333</v>
      </c>
      <c r="D106" s="51">
        <f t="shared" si="17"/>
        <v>49</v>
      </c>
      <c r="E106" s="49">
        <v>183.52</v>
      </c>
      <c r="F106" s="49">
        <f t="shared" si="18"/>
        <v>44.943673469387761</v>
      </c>
      <c r="G106" s="52">
        <f t="shared" si="19"/>
        <v>2.2250072653298456E-2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49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2.2749999999999999</v>
      </c>
      <c r="D107" s="51">
        <f t="shared" si="17"/>
        <v>27.3</v>
      </c>
      <c r="E107" s="49">
        <v>183.52</v>
      </c>
      <c r="F107" s="49">
        <f t="shared" si="18"/>
        <v>80.66813186813188</v>
      </c>
      <c r="G107" s="52">
        <f t="shared" si="19"/>
        <v>1.2396469049694854E-2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27.3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2.5916666666666668</v>
      </c>
      <c r="D108" s="51">
        <f t="shared" ref="D108" si="21">SUM(I108:T108)</f>
        <v>31.1</v>
      </c>
      <c r="E108" s="49">
        <v>183.52</v>
      </c>
      <c r="F108" s="49">
        <f t="shared" ref="F108" si="22">E108/C108</f>
        <v>70.811575562700966</v>
      </c>
      <c r="G108" s="52">
        <f t="shared" ref="G108" si="23">C108/E108</f>
        <v>1.412198488811392E-2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17.5</v>
      </c>
      <c r="Q108" s="54">
        <v>13.6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2.2083333333333335</v>
      </c>
      <c r="D109" s="51">
        <f t="shared" ref="D109" si="25">SUM(I109:T109)</f>
        <v>26.5</v>
      </c>
      <c r="E109" s="49">
        <v>183.52</v>
      </c>
      <c r="F109" s="49">
        <f t="shared" ref="F109" si="26">E109/C109</f>
        <v>83.1033962264151</v>
      </c>
      <c r="G109" s="52">
        <f t="shared" ref="G109" si="27">C109/E109</f>
        <v>1.2033202557396106E-2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26.5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3.5500000000000003</v>
      </c>
      <c r="D110" s="51">
        <f t="shared" ref="D110" si="29">SUM(I110:T110)</f>
        <v>42.6</v>
      </c>
      <c r="E110" s="49">
        <v>183.52</v>
      </c>
      <c r="F110" s="49">
        <f t="shared" ref="F110" si="30">E110/C110</f>
        <v>51.695774647887326</v>
      </c>
      <c r="G110" s="52">
        <f t="shared" ref="G110" si="31">C110/E110</f>
        <v>1.9343940714908456E-2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10.9</v>
      </c>
      <c r="R110" s="54">
        <v>31.7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4.725806451612903</v>
      </c>
      <c r="D111" s="51">
        <f t="shared" ref="D111" si="33">SUM(I111:T111)</f>
        <v>56.70967741935484</v>
      </c>
      <c r="E111" s="49">
        <v>183.52</v>
      </c>
      <c r="F111" s="49">
        <f t="shared" ref="F111" si="34">E111/C111</f>
        <v>38.833583617747443</v>
      </c>
      <c r="G111" s="52">
        <f t="shared" ref="G111" si="35">C111/E111</f>
        <v>2.5750906994403348E-2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8.7096774193548381</v>
      </c>
      <c r="Q111" s="54">
        <v>48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4.6833333333333336</v>
      </c>
      <c r="D112" s="51">
        <f t="shared" ref="D112" si="37">SUM(I112:T112)</f>
        <v>56.2</v>
      </c>
      <c r="E112" s="49">
        <v>183.52</v>
      </c>
      <c r="F112" s="49">
        <f t="shared" ref="F112" si="38">E112/C112</f>
        <v>39.185765124555161</v>
      </c>
      <c r="G112" s="52">
        <f t="shared" ref="G112" si="39">C112/E112</f>
        <v>2.5519471083987211E-2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43.4</v>
      </c>
      <c r="Q112" s="54">
        <v>12.8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6"/>
  <sheetViews>
    <sheetView zoomScale="80" zoomScaleNormal="80" zoomScaleSheetLayoutView="75" workbookViewId="0">
      <pane ySplit="1455" topLeftCell="A70" activePane="bottomLeft"/>
      <selection sqref="A1:XFD1048576"/>
      <selection pane="bottomLeft" activeCell="A106" sqref="A106:XFD106"/>
    </sheetView>
  </sheetViews>
  <sheetFormatPr defaultColWidth="8.88671875" defaultRowHeight="15.75" customHeight="1" x14ac:dyDescent="0.25"/>
  <cols>
    <col min="1" max="1" width="8.88671875" style="3" customWidth="1"/>
    <col min="2" max="2" width="9" style="3" customWidth="1"/>
    <col min="3" max="3" width="8.88671875" style="18" customWidth="1"/>
    <col min="4" max="4" width="9.5546875" style="18" bestFit="1" customWidth="1"/>
    <col min="5" max="5" width="11.44140625" style="19" customWidth="1"/>
    <col min="6" max="6" width="9.5546875" style="19" customWidth="1"/>
    <col min="7" max="7" width="10" style="20" customWidth="1"/>
    <col min="8" max="8" width="8.88671875" style="3" customWidth="1"/>
    <col min="9" max="9" width="9.6640625" style="19" customWidth="1"/>
    <col min="10" max="10" width="10.88671875" style="19" customWidth="1"/>
    <col min="11" max="16" width="8.88671875" style="19"/>
    <col min="17" max="17" width="13.5546875" style="19" customWidth="1"/>
    <col min="18" max="18" width="10.88671875" style="19" customWidth="1"/>
    <col min="19" max="19" width="12.6640625" style="19" customWidth="1"/>
    <col min="20" max="20" width="12.33203125" style="19" customWidth="1"/>
    <col min="21" max="16384" width="8.88671875" style="3"/>
  </cols>
  <sheetData>
    <row r="1" spans="1:20" ht="15.75" customHeight="1" x14ac:dyDescent="0.25">
      <c r="A1" s="125" t="s">
        <v>87</v>
      </c>
      <c r="B1" s="125"/>
      <c r="C1" s="125"/>
      <c r="D1" s="125"/>
      <c r="E1" s="125"/>
      <c r="F1" s="125"/>
      <c r="G1" s="125"/>
      <c r="I1" s="124" t="s">
        <v>14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0" s="13" customFormat="1" ht="15.75" customHeight="1" x14ac:dyDescent="0.25">
      <c r="A3" s="9">
        <v>1922</v>
      </c>
      <c r="B3" s="9">
        <v>12</v>
      </c>
      <c r="C3" s="10">
        <f>D3/B3</f>
        <v>49.550000000000004</v>
      </c>
      <c r="D3" s="10">
        <f>SUM(I3:T3)</f>
        <v>594.6</v>
      </c>
      <c r="E3" s="11">
        <v>1661.6</v>
      </c>
      <c r="F3" s="11">
        <f>E3/C3</f>
        <v>33.533804238143283</v>
      </c>
      <c r="G3" s="12">
        <f>C3/E3</f>
        <v>2.9820654790563318E-2</v>
      </c>
      <c r="I3" s="14"/>
      <c r="J3" s="14"/>
      <c r="K3" s="14"/>
      <c r="L3" s="14"/>
      <c r="M3" s="14">
        <v>35.1</v>
      </c>
      <c r="N3" s="14">
        <v>111</v>
      </c>
      <c r="O3" s="14">
        <v>75</v>
      </c>
      <c r="P3" s="14">
        <v>75</v>
      </c>
      <c r="Q3" s="14">
        <v>75</v>
      </c>
      <c r="R3" s="14">
        <v>75</v>
      </c>
      <c r="S3" s="14">
        <v>74.5</v>
      </c>
      <c r="T3" s="14">
        <v>74</v>
      </c>
    </row>
    <row r="4" spans="1:20" s="13" customFormat="1" ht="15.75" customHeight="1" x14ac:dyDescent="0.25">
      <c r="A4" s="9">
        <v>1923</v>
      </c>
      <c r="B4" s="9">
        <v>12</v>
      </c>
      <c r="C4" s="10">
        <f>D4/B4</f>
        <v>80.424999999999997</v>
      </c>
      <c r="D4" s="10">
        <f>SUM(I4:T4)</f>
        <v>965.1</v>
      </c>
      <c r="E4" s="11">
        <v>1661.6</v>
      </c>
      <c r="F4" s="14">
        <f>E4/C4</f>
        <v>20.660242461921044</v>
      </c>
      <c r="G4" s="12">
        <f t="shared" ref="G4:G67" si="0">C4/E4</f>
        <v>4.8402142513240251E-2</v>
      </c>
      <c r="I4" s="14">
        <v>74</v>
      </c>
      <c r="J4" s="14">
        <v>74</v>
      </c>
      <c r="K4" s="14">
        <v>74</v>
      </c>
      <c r="L4" s="14">
        <v>99</v>
      </c>
      <c r="M4" s="14">
        <v>84.8</v>
      </c>
      <c r="N4" s="14">
        <v>79.3</v>
      </c>
      <c r="O4" s="14">
        <v>80</v>
      </c>
      <c r="P4" s="14">
        <v>80</v>
      </c>
      <c r="Q4" s="14">
        <v>80</v>
      </c>
      <c r="R4" s="14">
        <v>80</v>
      </c>
      <c r="S4" s="14">
        <v>80</v>
      </c>
      <c r="T4" s="14">
        <v>80</v>
      </c>
    </row>
    <row r="5" spans="1:20" s="13" customFormat="1" ht="15.75" customHeight="1" x14ac:dyDescent="0.25">
      <c r="A5" s="9">
        <v>1924</v>
      </c>
      <c r="B5" s="9">
        <v>12</v>
      </c>
      <c r="C5" s="10">
        <f>D5/B5</f>
        <v>91.908333333333346</v>
      </c>
      <c r="D5" s="10">
        <f>SUM(I5:T5)</f>
        <v>1102.9000000000001</v>
      </c>
      <c r="E5" s="11">
        <v>1661.6</v>
      </c>
      <c r="F5" s="14">
        <f>E5/C5</f>
        <v>18.078882944963276</v>
      </c>
      <c r="G5" s="12">
        <f t="shared" si="0"/>
        <v>5.5313151982025369E-2</v>
      </c>
      <c r="I5" s="14">
        <v>80</v>
      </c>
      <c r="J5" s="14">
        <v>80</v>
      </c>
      <c r="K5" s="14">
        <v>80</v>
      </c>
      <c r="L5" s="14">
        <v>80</v>
      </c>
      <c r="M5" s="14">
        <v>80</v>
      </c>
      <c r="N5" s="14">
        <v>80</v>
      </c>
      <c r="O5" s="14">
        <v>87.9</v>
      </c>
      <c r="P5" s="14">
        <v>107</v>
      </c>
      <c r="Q5" s="14">
        <v>107</v>
      </c>
      <c r="R5" s="14">
        <v>107</v>
      </c>
      <c r="S5" s="14">
        <v>107</v>
      </c>
      <c r="T5" s="14">
        <v>107</v>
      </c>
    </row>
    <row r="6" spans="1:20" s="13" customFormat="1" ht="15.75" customHeight="1" x14ac:dyDescent="0.25">
      <c r="A6" s="9">
        <v>1925</v>
      </c>
      <c r="B6" s="9">
        <v>12</v>
      </c>
      <c r="C6" s="10">
        <f t="shared" ref="C6:C70" si="1">D6/B6</f>
        <v>117.97500000000001</v>
      </c>
      <c r="D6" s="10">
        <f t="shared" ref="D6:D70" si="2">SUM(I6:T6)</f>
        <v>1415.7</v>
      </c>
      <c r="E6" s="11">
        <v>1661.6</v>
      </c>
      <c r="F6" s="14">
        <f t="shared" ref="F6:F70" si="3">E6/C6</f>
        <v>14.08433990252172</v>
      </c>
      <c r="G6" s="12">
        <f t="shared" si="0"/>
        <v>7.1000842561386626E-2</v>
      </c>
      <c r="I6" s="14">
        <v>107</v>
      </c>
      <c r="J6" s="14">
        <v>106</v>
      </c>
      <c r="K6" s="14">
        <v>103.1</v>
      </c>
      <c r="L6" s="14">
        <v>118</v>
      </c>
      <c r="M6" s="14">
        <v>115.6</v>
      </c>
      <c r="N6" s="14">
        <v>110</v>
      </c>
      <c r="O6" s="14">
        <v>126</v>
      </c>
      <c r="P6" s="14">
        <v>126</v>
      </c>
      <c r="Q6" s="14">
        <v>126</v>
      </c>
      <c r="R6" s="14">
        <v>126</v>
      </c>
      <c r="S6" s="14">
        <v>126</v>
      </c>
      <c r="T6" s="14">
        <v>126</v>
      </c>
    </row>
    <row r="7" spans="1:20" s="13" customFormat="1" ht="15.75" customHeight="1" x14ac:dyDescent="0.25">
      <c r="A7" s="9">
        <v>1926</v>
      </c>
      <c r="B7" s="9">
        <v>12</v>
      </c>
      <c r="C7" s="10">
        <f t="shared" si="1"/>
        <v>97.108333333333334</v>
      </c>
      <c r="D7" s="10">
        <f t="shared" si="2"/>
        <v>1165.3</v>
      </c>
      <c r="E7" s="11">
        <v>1661.6</v>
      </c>
      <c r="F7" s="14">
        <f t="shared" si="3"/>
        <v>17.110786921822704</v>
      </c>
      <c r="G7" s="12">
        <f t="shared" si="0"/>
        <v>5.844266570373937E-2</v>
      </c>
      <c r="I7" s="14">
        <v>104</v>
      </c>
      <c r="J7" s="14">
        <v>112</v>
      </c>
      <c r="K7" s="14">
        <v>112</v>
      </c>
      <c r="L7" s="14">
        <v>112</v>
      </c>
      <c r="M7" s="14">
        <v>105.2</v>
      </c>
      <c r="N7" s="14">
        <v>97.3</v>
      </c>
      <c r="O7" s="14">
        <v>105.8</v>
      </c>
      <c r="P7" s="14">
        <v>100</v>
      </c>
      <c r="Q7" s="14">
        <v>84</v>
      </c>
      <c r="R7" s="14">
        <v>81</v>
      </c>
      <c r="S7" s="14">
        <v>76</v>
      </c>
      <c r="T7" s="14">
        <v>76</v>
      </c>
    </row>
    <row r="8" spans="1:20" s="13" customFormat="1" ht="15.75" customHeight="1" x14ac:dyDescent="0.25">
      <c r="A8" s="9">
        <v>1927</v>
      </c>
      <c r="B8" s="9">
        <v>12</v>
      </c>
      <c r="C8" s="10">
        <f t="shared" si="1"/>
        <v>70.075000000000003</v>
      </c>
      <c r="D8" s="10">
        <f t="shared" si="2"/>
        <v>840.9</v>
      </c>
      <c r="E8" s="11">
        <v>1661.6</v>
      </c>
      <c r="F8" s="14">
        <f t="shared" si="3"/>
        <v>23.711737424188367</v>
      </c>
      <c r="G8" s="12">
        <f t="shared" si="0"/>
        <v>4.2173206547905635E-2</v>
      </c>
      <c r="I8" s="14">
        <v>76</v>
      </c>
      <c r="J8" s="14">
        <v>76</v>
      </c>
      <c r="K8" s="14">
        <v>76</v>
      </c>
      <c r="L8" s="14">
        <v>76</v>
      </c>
      <c r="M8" s="14">
        <v>76</v>
      </c>
      <c r="N8" s="14">
        <v>67.599999999999994</v>
      </c>
      <c r="O8" s="14">
        <v>66</v>
      </c>
      <c r="P8" s="14">
        <v>66</v>
      </c>
      <c r="Q8" s="14">
        <v>66</v>
      </c>
      <c r="R8" s="14">
        <v>65.3</v>
      </c>
      <c r="S8" s="14">
        <v>65</v>
      </c>
      <c r="T8" s="14">
        <v>65</v>
      </c>
    </row>
    <row r="9" spans="1:20" s="13" customFormat="1" ht="15.75" customHeight="1" x14ac:dyDescent="0.25">
      <c r="A9" s="9">
        <v>1928</v>
      </c>
      <c r="B9" s="9">
        <v>12</v>
      </c>
      <c r="C9" s="10">
        <f t="shared" si="1"/>
        <v>71.00833333333334</v>
      </c>
      <c r="D9" s="10">
        <f t="shared" si="2"/>
        <v>852.1</v>
      </c>
      <c r="E9" s="11">
        <v>1661.6</v>
      </c>
      <c r="F9" s="14">
        <f t="shared" si="3"/>
        <v>23.400070414270623</v>
      </c>
      <c r="G9" s="12">
        <f t="shared" si="0"/>
        <v>4.2734914138982512E-2</v>
      </c>
      <c r="I9" s="14">
        <v>73.099999999999994</v>
      </c>
      <c r="J9" s="14">
        <v>76</v>
      </c>
      <c r="K9" s="14">
        <v>76</v>
      </c>
      <c r="L9" s="14">
        <v>76</v>
      </c>
      <c r="M9" s="14">
        <v>76</v>
      </c>
      <c r="N9" s="14">
        <v>76</v>
      </c>
      <c r="O9" s="14">
        <v>75</v>
      </c>
      <c r="P9" s="14">
        <v>75</v>
      </c>
      <c r="Q9" s="14">
        <v>53.3</v>
      </c>
      <c r="R9" s="14">
        <v>39.700000000000003</v>
      </c>
      <c r="S9" s="14">
        <v>67</v>
      </c>
      <c r="T9" s="14">
        <v>89</v>
      </c>
    </row>
    <row r="10" spans="1:20" s="13" customFormat="1" ht="15.75" customHeight="1" x14ac:dyDescent="0.25">
      <c r="A10" s="9">
        <v>1929</v>
      </c>
      <c r="B10" s="9">
        <v>12</v>
      </c>
      <c r="C10" s="10">
        <f t="shared" si="1"/>
        <v>52.083333333333336</v>
      </c>
      <c r="D10" s="10">
        <f t="shared" si="2"/>
        <v>625</v>
      </c>
      <c r="E10" s="11">
        <v>1661.6</v>
      </c>
      <c r="F10" s="14">
        <f t="shared" si="3"/>
        <v>31.902719999999995</v>
      </c>
      <c r="G10" s="12">
        <f t="shared" si="0"/>
        <v>3.1345289680629114E-2</v>
      </c>
      <c r="I10" s="14">
        <v>94.5</v>
      </c>
      <c r="J10" s="14">
        <v>69</v>
      </c>
      <c r="K10" s="14">
        <v>69</v>
      </c>
      <c r="L10" s="14">
        <v>71.7</v>
      </c>
      <c r="M10" s="14">
        <v>71</v>
      </c>
      <c r="N10" s="14">
        <v>71</v>
      </c>
      <c r="O10" s="14">
        <v>68.599999999999994</v>
      </c>
      <c r="P10" s="14">
        <v>35.9</v>
      </c>
      <c r="Q10" s="14">
        <v>29</v>
      </c>
      <c r="R10" s="14">
        <v>27.2</v>
      </c>
      <c r="S10" s="14">
        <v>12.1</v>
      </c>
      <c r="T10" s="14">
        <v>6</v>
      </c>
    </row>
    <row r="11" spans="1:20" s="13" customFormat="1" ht="15.75" customHeight="1" x14ac:dyDescent="0.25">
      <c r="A11" s="9">
        <v>1930</v>
      </c>
      <c r="B11" s="9">
        <v>12</v>
      </c>
      <c r="C11" s="10">
        <f t="shared" si="1"/>
        <v>42.208333333333329</v>
      </c>
      <c r="D11" s="10">
        <f t="shared" si="2"/>
        <v>506.49999999999994</v>
      </c>
      <c r="E11" s="11">
        <v>1661.6</v>
      </c>
      <c r="F11" s="14">
        <f t="shared" si="3"/>
        <v>39.366633761105632</v>
      </c>
      <c r="G11" s="12">
        <f t="shared" si="0"/>
        <v>2.540222275718183E-2</v>
      </c>
      <c r="I11" s="14">
        <v>7.9</v>
      </c>
      <c r="J11" s="14">
        <v>26</v>
      </c>
      <c r="K11" s="14">
        <v>29</v>
      </c>
      <c r="L11" s="14">
        <v>29</v>
      </c>
      <c r="M11" s="14">
        <v>29</v>
      </c>
      <c r="N11" s="14">
        <v>55.8</v>
      </c>
      <c r="O11" s="14">
        <v>53</v>
      </c>
      <c r="P11" s="14">
        <v>53</v>
      </c>
      <c r="Q11" s="14">
        <v>53</v>
      </c>
      <c r="R11" s="14">
        <v>43.9</v>
      </c>
      <c r="S11" s="14">
        <v>62.9</v>
      </c>
      <c r="T11" s="14">
        <v>64</v>
      </c>
    </row>
    <row r="12" spans="1:20" s="13" customFormat="1" ht="15.75" customHeight="1" x14ac:dyDescent="0.25">
      <c r="A12" s="9">
        <v>1931</v>
      </c>
      <c r="B12" s="9">
        <v>12</v>
      </c>
      <c r="C12" s="10">
        <f t="shared" si="1"/>
        <v>51.94166666666667</v>
      </c>
      <c r="D12" s="10">
        <f t="shared" si="2"/>
        <v>623.30000000000007</v>
      </c>
      <c r="E12" s="11">
        <v>1661.6</v>
      </c>
      <c r="F12" s="14">
        <f t="shared" si="3"/>
        <v>31.989732071233753</v>
      </c>
      <c r="G12" s="12">
        <f t="shared" si="0"/>
        <v>3.1260030492697807E-2</v>
      </c>
      <c r="I12" s="14">
        <v>64</v>
      </c>
      <c r="J12" s="14">
        <v>64</v>
      </c>
      <c r="K12" s="14">
        <v>66.7</v>
      </c>
      <c r="L12" s="14">
        <v>67</v>
      </c>
      <c r="M12" s="14">
        <v>67.8</v>
      </c>
      <c r="N12" s="14">
        <v>66</v>
      </c>
      <c r="O12" s="14">
        <v>38.6</v>
      </c>
      <c r="P12" s="14">
        <v>41</v>
      </c>
      <c r="Q12" s="14">
        <v>41</v>
      </c>
      <c r="R12" s="14">
        <v>41</v>
      </c>
      <c r="S12" s="14">
        <v>32.200000000000003</v>
      </c>
      <c r="T12" s="14">
        <v>34</v>
      </c>
    </row>
    <row r="13" spans="1:20" s="13" customFormat="1" ht="15.75" customHeight="1" x14ac:dyDescent="0.25">
      <c r="A13" s="9">
        <v>1932</v>
      </c>
      <c r="B13" s="9">
        <v>12</v>
      </c>
      <c r="C13" s="10">
        <f t="shared" si="1"/>
        <v>63.741666666666667</v>
      </c>
      <c r="D13" s="10">
        <f t="shared" si="2"/>
        <v>764.9</v>
      </c>
      <c r="E13" s="11">
        <v>1661.6</v>
      </c>
      <c r="F13" s="14">
        <f t="shared" si="3"/>
        <v>26.067721270754344</v>
      </c>
      <c r="G13" s="12">
        <f t="shared" si="0"/>
        <v>3.8361619322741132E-2</v>
      </c>
      <c r="I13" s="14">
        <v>66.400000000000006</v>
      </c>
      <c r="J13" s="14">
        <v>103.3</v>
      </c>
      <c r="K13" s="14">
        <v>104</v>
      </c>
      <c r="L13" s="14">
        <v>99.7</v>
      </c>
      <c r="M13" s="14">
        <v>64</v>
      </c>
      <c r="N13" s="14">
        <v>64</v>
      </c>
      <c r="O13" s="14">
        <v>40</v>
      </c>
      <c r="P13" s="14">
        <v>40</v>
      </c>
      <c r="Q13" s="14">
        <v>40</v>
      </c>
      <c r="R13" s="14">
        <v>35.6</v>
      </c>
      <c r="S13" s="14">
        <v>48.9</v>
      </c>
      <c r="T13" s="14">
        <v>59</v>
      </c>
    </row>
    <row r="14" spans="1:20" s="13" customFormat="1" ht="15.75" customHeight="1" x14ac:dyDescent="0.25">
      <c r="A14" s="9">
        <v>1933</v>
      </c>
      <c r="B14" s="9">
        <v>12</v>
      </c>
      <c r="C14" s="10">
        <f t="shared" si="1"/>
        <v>71.88333333333334</v>
      </c>
      <c r="D14" s="10">
        <f t="shared" si="2"/>
        <v>862.6</v>
      </c>
      <c r="E14" s="11">
        <v>1661.6</v>
      </c>
      <c r="F14" s="14">
        <f t="shared" si="3"/>
        <v>23.115233016461858</v>
      </c>
      <c r="G14" s="12">
        <f t="shared" si="0"/>
        <v>4.3261515005617084E-2</v>
      </c>
      <c r="I14" s="14">
        <v>60</v>
      </c>
      <c r="J14" s="14">
        <v>60</v>
      </c>
      <c r="K14" s="14">
        <v>70.7</v>
      </c>
      <c r="L14" s="14">
        <v>81</v>
      </c>
      <c r="M14" s="14">
        <v>80.3</v>
      </c>
      <c r="N14" s="14">
        <v>80</v>
      </c>
      <c r="O14" s="14">
        <v>83</v>
      </c>
      <c r="P14" s="14">
        <v>83</v>
      </c>
      <c r="Q14" s="14">
        <v>83</v>
      </c>
      <c r="R14" s="14">
        <v>70.099999999999994</v>
      </c>
      <c r="S14" s="14">
        <v>56</v>
      </c>
      <c r="T14" s="14">
        <v>55.5</v>
      </c>
    </row>
    <row r="15" spans="1:20" s="13" customFormat="1" ht="15.75" customHeight="1" x14ac:dyDescent="0.25">
      <c r="A15" s="9">
        <v>1934</v>
      </c>
      <c r="B15" s="9">
        <v>12</v>
      </c>
      <c r="C15" s="10">
        <f t="shared" si="1"/>
        <v>73.424999999999997</v>
      </c>
      <c r="D15" s="10">
        <f t="shared" si="2"/>
        <v>881.09999999999991</v>
      </c>
      <c r="E15" s="11">
        <v>1661.6</v>
      </c>
      <c r="F15" s="14">
        <f t="shared" si="3"/>
        <v>22.629894450119171</v>
      </c>
      <c r="G15" s="12">
        <f t="shared" si="0"/>
        <v>4.4189335580163698E-2</v>
      </c>
      <c r="I15" s="14">
        <v>59.3</v>
      </c>
      <c r="J15" s="14">
        <v>81</v>
      </c>
      <c r="K15" s="14">
        <v>81</v>
      </c>
      <c r="L15" s="14">
        <v>85</v>
      </c>
      <c r="M15" s="14">
        <v>85</v>
      </c>
      <c r="N15" s="14">
        <v>85</v>
      </c>
      <c r="O15" s="14">
        <v>94</v>
      </c>
      <c r="P15" s="14">
        <v>89</v>
      </c>
      <c r="Q15" s="14">
        <v>89</v>
      </c>
      <c r="R15" s="14">
        <v>50.8</v>
      </c>
      <c r="S15" s="14">
        <v>41</v>
      </c>
      <c r="T15" s="14">
        <v>41</v>
      </c>
    </row>
    <row r="16" spans="1:20" s="13" customFormat="1" ht="15.75" customHeight="1" x14ac:dyDescent="0.25">
      <c r="A16" s="9">
        <v>1935</v>
      </c>
      <c r="B16" s="9">
        <v>12</v>
      </c>
      <c r="C16" s="10">
        <f t="shared" si="1"/>
        <v>127.19166666666665</v>
      </c>
      <c r="D16" s="10">
        <f t="shared" si="2"/>
        <v>1526.2999999999997</v>
      </c>
      <c r="E16" s="11">
        <v>1661.6</v>
      </c>
      <c r="F16" s="14">
        <f t="shared" si="3"/>
        <v>13.063748935333814</v>
      </c>
      <c r="G16" s="12">
        <f t="shared" si="0"/>
        <v>7.654770502327074E-2</v>
      </c>
      <c r="I16" s="14">
        <v>173</v>
      </c>
      <c r="J16" s="14">
        <v>173</v>
      </c>
      <c r="K16" s="14">
        <v>173</v>
      </c>
      <c r="L16" s="14">
        <v>173</v>
      </c>
      <c r="M16" s="14">
        <v>173</v>
      </c>
      <c r="N16" s="14">
        <v>140.30000000000001</v>
      </c>
      <c r="O16" s="14">
        <v>153.6</v>
      </c>
      <c r="P16" s="14">
        <v>135.6</v>
      </c>
      <c r="Q16" s="14">
        <v>86</v>
      </c>
      <c r="R16" s="14">
        <v>76.099999999999994</v>
      </c>
      <c r="S16" s="14">
        <v>33.700000000000003</v>
      </c>
      <c r="T16" s="14">
        <v>36</v>
      </c>
    </row>
    <row r="17" spans="1:20" s="13" customFormat="1" ht="15.75" customHeight="1" x14ac:dyDescent="0.25">
      <c r="A17" s="9">
        <v>1936</v>
      </c>
      <c r="B17" s="9">
        <v>12</v>
      </c>
      <c r="C17" s="10">
        <f t="shared" si="1"/>
        <v>35.466666666666669</v>
      </c>
      <c r="D17" s="10">
        <f t="shared" si="2"/>
        <v>425.6</v>
      </c>
      <c r="E17" s="11">
        <v>1661.6</v>
      </c>
      <c r="F17" s="14">
        <f t="shared" si="3"/>
        <v>46.849624060150369</v>
      </c>
      <c r="G17" s="12">
        <f t="shared" si="0"/>
        <v>2.1344888460921203E-2</v>
      </c>
      <c r="I17" s="14">
        <v>36</v>
      </c>
      <c r="J17" s="14">
        <v>36</v>
      </c>
      <c r="K17" s="14">
        <v>36</v>
      </c>
      <c r="L17" s="14">
        <v>36</v>
      </c>
      <c r="M17" s="14">
        <v>36</v>
      </c>
      <c r="N17" s="14">
        <v>36</v>
      </c>
      <c r="O17" s="14">
        <v>36</v>
      </c>
      <c r="P17" s="14">
        <v>36</v>
      </c>
      <c r="Q17" s="14">
        <v>36</v>
      </c>
      <c r="R17" s="14">
        <v>25.5</v>
      </c>
      <c r="S17" s="14">
        <v>35.1</v>
      </c>
      <c r="T17" s="14">
        <v>41</v>
      </c>
    </row>
    <row r="18" spans="1:20" s="13" customFormat="1" ht="15.75" customHeight="1" x14ac:dyDescent="0.25">
      <c r="A18" s="9">
        <v>1937</v>
      </c>
      <c r="B18" s="9">
        <v>12</v>
      </c>
      <c r="C18" s="10">
        <f t="shared" si="1"/>
        <v>41.125</v>
      </c>
      <c r="D18" s="10">
        <f t="shared" si="2"/>
        <v>493.5</v>
      </c>
      <c r="E18" s="11">
        <v>1661.6</v>
      </c>
      <c r="F18" s="14">
        <f t="shared" si="3"/>
        <v>40.403647416413371</v>
      </c>
      <c r="G18" s="12">
        <f t="shared" si="0"/>
        <v>2.475024073182475E-2</v>
      </c>
      <c r="I18" s="14">
        <v>41</v>
      </c>
      <c r="J18" s="14">
        <v>41</v>
      </c>
      <c r="K18" s="14">
        <v>41</v>
      </c>
      <c r="L18" s="14">
        <v>42</v>
      </c>
      <c r="M18" s="14">
        <v>42</v>
      </c>
      <c r="N18" s="14">
        <v>42</v>
      </c>
      <c r="O18" s="14">
        <v>42</v>
      </c>
      <c r="P18" s="14">
        <v>42</v>
      </c>
      <c r="Q18" s="14">
        <v>42</v>
      </c>
      <c r="R18" s="14">
        <v>42</v>
      </c>
      <c r="S18" s="14">
        <v>38.5</v>
      </c>
      <c r="T18" s="14">
        <v>38</v>
      </c>
    </row>
    <row r="19" spans="1:20" s="13" customFormat="1" ht="15.75" customHeight="1" x14ac:dyDescent="0.25">
      <c r="A19" s="9">
        <v>1938</v>
      </c>
      <c r="B19" s="9">
        <v>12</v>
      </c>
      <c r="C19" s="10">
        <f t="shared" si="1"/>
        <v>47.625</v>
      </c>
      <c r="D19" s="10">
        <f t="shared" si="2"/>
        <v>571.5</v>
      </c>
      <c r="E19" s="11">
        <v>1661.6</v>
      </c>
      <c r="F19" s="14">
        <f t="shared" si="3"/>
        <v>34.889238845144355</v>
      </c>
      <c r="G19" s="12">
        <f t="shared" si="0"/>
        <v>2.866213288396726E-2</v>
      </c>
      <c r="I19" s="14">
        <v>38</v>
      </c>
      <c r="J19" s="14">
        <v>38</v>
      </c>
      <c r="K19" s="14">
        <v>38</v>
      </c>
      <c r="L19" s="14">
        <v>38</v>
      </c>
      <c r="M19" s="14">
        <v>38</v>
      </c>
      <c r="N19" s="14">
        <v>38</v>
      </c>
      <c r="O19" s="14">
        <v>52.2</v>
      </c>
      <c r="P19" s="14">
        <v>59</v>
      </c>
      <c r="Q19" s="14">
        <v>59</v>
      </c>
      <c r="R19" s="14">
        <v>59</v>
      </c>
      <c r="S19" s="14">
        <v>58.3</v>
      </c>
      <c r="T19" s="14">
        <v>56</v>
      </c>
    </row>
    <row r="20" spans="1:20" s="13" customFormat="1" ht="15.75" customHeight="1" x14ac:dyDescent="0.25">
      <c r="A20" s="9">
        <v>1939</v>
      </c>
      <c r="B20" s="9">
        <v>12</v>
      </c>
      <c r="C20" s="10">
        <f t="shared" si="1"/>
        <v>47.6</v>
      </c>
      <c r="D20" s="10">
        <f t="shared" si="2"/>
        <v>571.20000000000005</v>
      </c>
      <c r="E20" s="11">
        <v>1661.6</v>
      </c>
      <c r="F20" s="14">
        <f t="shared" si="3"/>
        <v>34.907563025210081</v>
      </c>
      <c r="G20" s="12">
        <f t="shared" si="0"/>
        <v>2.864708714492056E-2</v>
      </c>
      <c r="I20" s="14">
        <v>56</v>
      </c>
      <c r="J20" s="14">
        <v>56</v>
      </c>
      <c r="K20" s="14">
        <v>57.6</v>
      </c>
      <c r="L20" s="14">
        <v>60.2</v>
      </c>
      <c r="M20" s="14">
        <v>61</v>
      </c>
      <c r="N20" s="14">
        <v>31.1</v>
      </c>
      <c r="O20" s="14">
        <v>45</v>
      </c>
      <c r="P20" s="14">
        <v>45</v>
      </c>
      <c r="Q20" s="14">
        <v>45</v>
      </c>
      <c r="R20" s="14">
        <v>38.299999999999997</v>
      </c>
      <c r="S20" s="14">
        <v>38</v>
      </c>
      <c r="T20" s="14">
        <v>38</v>
      </c>
    </row>
    <row r="21" spans="1:20" s="13" customFormat="1" ht="15.75" customHeight="1" x14ac:dyDescent="0.25">
      <c r="A21" s="9">
        <v>1940</v>
      </c>
      <c r="B21" s="9">
        <v>12</v>
      </c>
      <c r="C21" s="10">
        <f t="shared" si="1"/>
        <v>40.116666666666667</v>
      </c>
      <c r="D21" s="10">
        <f t="shared" si="2"/>
        <v>481.4</v>
      </c>
      <c r="E21" s="11">
        <v>1661.6</v>
      </c>
      <c r="F21" s="14">
        <f t="shared" si="3"/>
        <v>41.419194017449101</v>
      </c>
      <c r="G21" s="12">
        <f t="shared" si="0"/>
        <v>2.4143395923607768E-2</v>
      </c>
      <c r="I21" s="14">
        <v>38</v>
      </c>
      <c r="J21" s="14">
        <v>40.4</v>
      </c>
      <c r="K21" s="14">
        <v>44.3</v>
      </c>
      <c r="L21" s="14">
        <v>46</v>
      </c>
      <c r="M21" s="14">
        <v>46</v>
      </c>
      <c r="N21" s="14">
        <v>46</v>
      </c>
      <c r="O21" s="14">
        <v>46</v>
      </c>
      <c r="P21" s="14">
        <v>46</v>
      </c>
      <c r="Q21" s="14">
        <v>46</v>
      </c>
      <c r="R21" s="14">
        <v>35</v>
      </c>
      <c r="S21" s="14">
        <v>13.7</v>
      </c>
      <c r="T21" s="14">
        <v>34</v>
      </c>
    </row>
    <row r="22" spans="1:20" s="13" customFormat="1" ht="15.75" customHeight="1" x14ac:dyDescent="0.25">
      <c r="A22" s="9">
        <v>1941</v>
      </c>
      <c r="B22" s="9">
        <v>12</v>
      </c>
      <c r="C22" s="10">
        <f t="shared" si="1"/>
        <v>35.44166666666667</v>
      </c>
      <c r="D22" s="10">
        <f t="shared" si="2"/>
        <v>425.3</v>
      </c>
      <c r="E22" s="11">
        <v>1661.6</v>
      </c>
      <c r="F22" s="14">
        <f t="shared" si="3"/>
        <v>46.882671055725361</v>
      </c>
      <c r="G22" s="12">
        <f t="shared" si="0"/>
        <v>2.1329842721874503E-2</v>
      </c>
      <c r="I22" s="14">
        <v>34</v>
      </c>
      <c r="J22" s="14">
        <v>34</v>
      </c>
      <c r="K22" s="14">
        <v>34.5</v>
      </c>
      <c r="L22" s="14">
        <v>36</v>
      </c>
      <c r="M22" s="14">
        <v>36</v>
      </c>
      <c r="N22" s="14">
        <v>36</v>
      </c>
      <c r="O22" s="14">
        <v>36</v>
      </c>
      <c r="P22" s="14">
        <v>44.4</v>
      </c>
      <c r="Q22" s="14">
        <v>48</v>
      </c>
      <c r="R22" s="14">
        <v>27.8</v>
      </c>
      <c r="S22" s="14">
        <v>18.600000000000001</v>
      </c>
      <c r="T22" s="14">
        <v>40</v>
      </c>
    </row>
    <row r="23" spans="1:20" s="13" customFormat="1" ht="15.75" customHeight="1" x14ac:dyDescent="0.25">
      <c r="A23" s="9">
        <v>1942</v>
      </c>
      <c r="B23" s="9">
        <v>12</v>
      </c>
      <c r="C23" s="10">
        <f t="shared" si="1"/>
        <v>42.475000000000001</v>
      </c>
      <c r="D23" s="10">
        <f t="shared" si="2"/>
        <v>509.7</v>
      </c>
      <c r="E23" s="11">
        <v>1661.6</v>
      </c>
      <c r="F23" s="14">
        <f t="shared" si="3"/>
        <v>39.119482048263684</v>
      </c>
      <c r="G23" s="12">
        <f t="shared" si="0"/>
        <v>2.5562710640346657E-2</v>
      </c>
      <c r="I23" s="14">
        <v>40</v>
      </c>
      <c r="J23" s="14">
        <v>40</v>
      </c>
      <c r="K23" s="14">
        <v>46.3</v>
      </c>
      <c r="L23" s="14">
        <v>48</v>
      </c>
      <c r="M23" s="14">
        <v>47</v>
      </c>
      <c r="N23" s="14">
        <v>48</v>
      </c>
      <c r="O23" s="14">
        <v>48</v>
      </c>
      <c r="P23" s="14">
        <v>47.9</v>
      </c>
      <c r="Q23" s="14">
        <v>47</v>
      </c>
      <c r="R23" s="14">
        <v>19.5</v>
      </c>
      <c r="S23" s="14">
        <v>33</v>
      </c>
      <c r="T23" s="14">
        <v>45</v>
      </c>
    </row>
    <row r="24" spans="1:20" s="13" customFormat="1" ht="15.75" customHeight="1" x14ac:dyDescent="0.25">
      <c r="A24" s="9">
        <v>1943</v>
      </c>
      <c r="B24" s="9">
        <v>12</v>
      </c>
      <c r="C24" s="10">
        <f t="shared" si="1"/>
        <v>40.150000000000006</v>
      </c>
      <c r="D24" s="10">
        <f t="shared" si="2"/>
        <v>481.80000000000007</v>
      </c>
      <c r="E24" s="11">
        <v>1661.6</v>
      </c>
      <c r="F24" s="14">
        <f t="shared" si="3"/>
        <v>41.384806973848065</v>
      </c>
      <c r="G24" s="12">
        <f t="shared" si="0"/>
        <v>2.4163456909003376E-2</v>
      </c>
      <c r="I24" s="14">
        <v>45</v>
      </c>
      <c r="J24" s="14">
        <v>45</v>
      </c>
      <c r="K24" s="14">
        <v>47.1</v>
      </c>
      <c r="L24" s="14">
        <v>48</v>
      </c>
      <c r="M24" s="14">
        <v>47.7</v>
      </c>
      <c r="N24" s="14">
        <v>47</v>
      </c>
      <c r="O24" s="14">
        <v>47</v>
      </c>
      <c r="P24" s="14">
        <v>47</v>
      </c>
      <c r="Q24" s="14">
        <v>41.1</v>
      </c>
      <c r="R24" s="14">
        <v>20.3</v>
      </c>
      <c r="S24" s="14">
        <v>21.6</v>
      </c>
      <c r="T24" s="14">
        <v>25</v>
      </c>
    </row>
    <row r="25" spans="1:20" s="13" customFormat="1" ht="15.75" customHeight="1" x14ac:dyDescent="0.25">
      <c r="A25" s="9">
        <v>1944</v>
      </c>
      <c r="B25" s="9">
        <v>12</v>
      </c>
      <c r="C25" s="10">
        <f t="shared" si="1"/>
        <v>17.316666666666666</v>
      </c>
      <c r="D25" s="10">
        <f t="shared" si="2"/>
        <v>207.79999999999998</v>
      </c>
      <c r="E25" s="11">
        <v>1661.6</v>
      </c>
      <c r="F25" s="14">
        <f t="shared" si="3"/>
        <v>95.953801732435025</v>
      </c>
      <c r="G25" s="12">
        <f t="shared" si="0"/>
        <v>1.0421681913015568E-2</v>
      </c>
      <c r="I25" s="14">
        <v>25</v>
      </c>
      <c r="J25" s="14">
        <v>25</v>
      </c>
      <c r="K25" s="14">
        <v>26.6</v>
      </c>
      <c r="L25" s="14">
        <v>27</v>
      </c>
      <c r="M25" s="14">
        <v>24.6</v>
      </c>
      <c r="N25" s="14">
        <v>24.2</v>
      </c>
      <c r="O25" s="14">
        <v>26</v>
      </c>
      <c r="P25" s="14">
        <v>21.6</v>
      </c>
      <c r="Q25" s="14">
        <v>7.8</v>
      </c>
      <c r="R25" s="14">
        <v>0</v>
      </c>
      <c r="S25" s="14"/>
      <c r="T25" s="14"/>
    </row>
    <row r="26" spans="1:20" s="13" customFormat="1" ht="15.75" customHeight="1" x14ac:dyDescent="0.25">
      <c r="A26" s="9">
        <v>1945</v>
      </c>
      <c r="B26" s="9">
        <v>12</v>
      </c>
      <c r="C26" s="10">
        <f t="shared" si="1"/>
        <v>12.991666666666669</v>
      </c>
      <c r="D26" s="10">
        <f t="shared" si="2"/>
        <v>155.90000000000003</v>
      </c>
      <c r="E26" s="11">
        <v>1661.6</v>
      </c>
      <c r="F26" s="14">
        <f t="shared" si="3"/>
        <v>127.89737010904423</v>
      </c>
      <c r="G26" s="12">
        <f t="shared" si="0"/>
        <v>7.8187690579361278E-3</v>
      </c>
      <c r="I26" s="14">
        <v>2.2000000000000002</v>
      </c>
      <c r="J26" s="14">
        <v>14</v>
      </c>
      <c r="K26" s="14">
        <v>14.7</v>
      </c>
      <c r="L26" s="14">
        <v>15</v>
      </c>
      <c r="M26" s="14">
        <v>15</v>
      </c>
      <c r="N26" s="14">
        <v>15</v>
      </c>
      <c r="O26" s="14">
        <v>15</v>
      </c>
      <c r="P26" s="14">
        <v>14.3</v>
      </c>
      <c r="Q26" s="14">
        <v>14</v>
      </c>
      <c r="R26" s="14">
        <v>6.4</v>
      </c>
      <c r="S26" s="14">
        <v>4</v>
      </c>
      <c r="T26" s="14">
        <v>26.3</v>
      </c>
    </row>
    <row r="27" spans="1:20" s="13" customFormat="1" ht="15.75" customHeight="1" x14ac:dyDescent="0.25">
      <c r="A27" s="9">
        <v>1946</v>
      </c>
      <c r="B27" s="9">
        <v>12</v>
      </c>
      <c r="C27" s="10">
        <f t="shared" si="1"/>
        <v>27.791666666666668</v>
      </c>
      <c r="D27" s="10">
        <f t="shared" si="2"/>
        <v>333.5</v>
      </c>
      <c r="E27" s="11">
        <v>1661.6</v>
      </c>
      <c r="F27" s="14">
        <f t="shared" si="3"/>
        <v>59.787706146926531</v>
      </c>
      <c r="G27" s="12">
        <f t="shared" si="0"/>
        <v>1.6725846573583697E-2</v>
      </c>
      <c r="I27" s="14">
        <v>27</v>
      </c>
      <c r="J27" s="14">
        <v>27</v>
      </c>
      <c r="K27" s="14">
        <v>29</v>
      </c>
      <c r="L27" s="14">
        <v>29</v>
      </c>
      <c r="M27" s="14">
        <v>29</v>
      </c>
      <c r="N27" s="14">
        <v>29</v>
      </c>
      <c r="O27" s="14">
        <v>29</v>
      </c>
      <c r="P27" s="14">
        <v>29</v>
      </c>
      <c r="Q27" s="14">
        <v>28.4</v>
      </c>
      <c r="R27" s="14">
        <v>20.5</v>
      </c>
      <c r="S27" s="14">
        <v>16.600000000000001</v>
      </c>
      <c r="T27" s="14">
        <v>40</v>
      </c>
    </row>
    <row r="28" spans="1:20" s="13" customFormat="1" ht="15.75" customHeight="1" x14ac:dyDescent="0.25">
      <c r="A28" s="9">
        <v>1947</v>
      </c>
      <c r="B28" s="9">
        <v>12</v>
      </c>
      <c r="C28" s="10">
        <f t="shared" si="1"/>
        <v>36.875</v>
      </c>
      <c r="D28" s="10">
        <f t="shared" si="2"/>
        <v>442.5</v>
      </c>
      <c r="E28" s="11">
        <v>1661.6</v>
      </c>
      <c r="F28" s="14">
        <f t="shared" si="3"/>
        <v>45.060338983050848</v>
      </c>
      <c r="G28" s="12">
        <f t="shared" si="0"/>
        <v>2.2192465093885411E-2</v>
      </c>
      <c r="I28" s="14">
        <v>40</v>
      </c>
      <c r="J28" s="14">
        <v>40</v>
      </c>
      <c r="K28" s="14">
        <v>41.3</v>
      </c>
      <c r="L28" s="14">
        <v>41.9</v>
      </c>
      <c r="M28" s="14">
        <v>41</v>
      </c>
      <c r="N28" s="14">
        <v>41</v>
      </c>
      <c r="O28" s="14">
        <v>41.3</v>
      </c>
      <c r="P28" s="14">
        <v>41</v>
      </c>
      <c r="Q28" s="14">
        <v>41</v>
      </c>
      <c r="R28" s="14">
        <v>41</v>
      </c>
      <c r="S28" s="14">
        <v>11.3</v>
      </c>
      <c r="T28" s="14">
        <v>21.7</v>
      </c>
    </row>
    <row r="29" spans="1:20" s="13" customFormat="1" ht="15.75" customHeight="1" x14ac:dyDescent="0.25">
      <c r="A29" s="9">
        <v>1948</v>
      </c>
      <c r="B29" s="9">
        <v>12</v>
      </c>
      <c r="C29" s="10">
        <f t="shared" si="1"/>
        <v>32.741666666666667</v>
      </c>
      <c r="D29" s="10">
        <f t="shared" si="2"/>
        <v>392.9</v>
      </c>
      <c r="E29" s="11">
        <v>1661.6</v>
      </c>
      <c r="F29" s="14">
        <f t="shared" si="3"/>
        <v>50.748791040977345</v>
      </c>
      <c r="G29" s="12">
        <f t="shared" si="0"/>
        <v>1.9704902904830686E-2</v>
      </c>
      <c r="I29" s="14">
        <v>31</v>
      </c>
      <c r="J29" s="14">
        <v>31</v>
      </c>
      <c r="K29" s="14">
        <v>32.6</v>
      </c>
      <c r="L29" s="14">
        <v>33</v>
      </c>
      <c r="M29" s="14">
        <v>33</v>
      </c>
      <c r="N29" s="14">
        <v>33</v>
      </c>
      <c r="O29" s="14">
        <v>33</v>
      </c>
      <c r="P29" s="14">
        <v>33</v>
      </c>
      <c r="Q29" s="14">
        <v>33.9</v>
      </c>
      <c r="R29" s="14">
        <v>32.9</v>
      </c>
      <c r="S29" s="14">
        <v>26.5</v>
      </c>
      <c r="T29" s="14">
        <v>40</v>
      </c>
    </row>
    <row r="30" spans="1:20" s="13" customFormat="1" ht="15.75" customHeight="1" x14ac:dyDescent="0.25">
      <c r="A30" s="9">
        <v>1949</v>
      </c>
      <c r="B30" s="9">
        <v>12</v>
      </c>
      <c r="C30" s="10">
        <f t="shared" si="1"/>
        <v>39.466666666666661</v>
      </c>
      <c r="D30" s="10">
        <f t="shared" si="2"/>
        <v>473.59999999999997</v>
      </c>
      <c r="E30" s="11">
        <v>1661.6</v>
      </c>
      <c r="F30" s="14">
        <f t="shared" si="3"/>
        <v>42.101351351351354</v>
      </c>
      <c r="G30" s="12">
        <f t="shared" si="0"/>
        <v>2.3752206708393515E-2</v>
      </c>
      <c r="I30" s="14">
        <v>40</v>
      </c>
      <c r="J30" s="14">
        <v>40</v>
      </c>
      <c r="K30" s="14">
        <v>41.4</v>
      </c>
      <c r="L30" s="14">
        <v>41</v>
      </c>
      <c r="M30" s="14">
        <v>41</v>
      </c>
      <c r="N30" s="14">
        <v>41</v>
      </c>
      <c r="O30" s="14">
        <v>41</v>
      </c>
      <c r="P30" s="14">
        <v>41</v>
      </c>
      <c r="Q30" s="14">
        <v>41</v>
      </c>
      <c r="R30" s="14">
        <v>40</v>
      </c>
      <c r="S30" s="14">
        <v>27</v>
      </c>
      <c r="T30" s="14">
        <v>39.200000000000003</v>
      </c>
    </row>
    <row r="31" spans="1:20" s="13" customFormat="1" ht="15.75" customHeight="1" x14ac:dyDescent="0.25">
      <c r="A31" s="9">
        <v>1950</v>
      </c>
      <c r="B31" s="9">
        <v>12</v>
      </c>
      <c r="C31" s="10">
        <f t="shared" si="1"/>
        <v>36.975000000000001</v>
      </c>
      <c r="D31" s="10">
        <f t="shared" si="2"/>
        <v>443.7</v>
      </c>
      <c r="E31" s="11">
        <v>1661.6</v>
      </c>
      <c r="F31" s="14">
        <f t="shared" si="3"/>
        <v>44.938471940500335</v>
      </c>
      <c r="G31" s="12">
        <f t="shared" si="0"/>
        <v>2.2252648050072221E-2</v>
      </c>
      <c r="I31" s="14">
        <v>38.700000000000003</v>
      </c>
      <c r="J31" s="14">
        <v>38</v>
      </c>
      <c r="K31" s="14">
        <v>40.200000000000003</v>
      </c>
      <c r="L31" s="14">
        <v>42</v>
      </c>
      <c r="M31" s="14">
        <v>41.1</v>
      </c>
      <c r="N31" s="14">
        <v>39.799999999999997</v>
      </c>
      <c r="O31" s="14">
        <v>37.5</v>
      </c>
      <c r="P31" s="14">
        <v>37</v>
      </c>
      <c r="Q31" s="14">
        <v>36.9</v>
      </c>
      <c r="R31" s="14">
        <v>36</v>
      </c>
      <c r="S31" s="14">
        <v>21.5</v>
      </c>
      <c r="T31" s="14">
        <v>35</v>
      </c>
    </row>
    <row r="32" spans="1:20" s="13" customFormat="1" ht="15.75" customHeight="1" x14ac:dyDescent="0.25">
      <c r="A32" s="9">
        <v>1951</v>
      </c>
      <c r="B32" s="9">
        <v>12</v>
      </c>
      <c r="C32" s="10">
        <f t="shared" si="1"/>
        <v>35.141666666666673</v>
      </c>
      <c r="D32" s="10">
        <f t="shared" si="2"/>
        <v>421.70000000000005</v>
      </c>
      <c r="E32" s="11">
        <v>1661.6</v>
      </c>
      <c r="F32" s="14">
        <f t="shared" si="3"/>
        <v>47.282902537348818</v>
      </c>
      <c r="G32" s="12">
        <f t="shared" si="0"/>
        <v>2.1149293853314079E-2</v>
      </c>
      <c r="I32" s="14">
        <v>35</v>
      </c>
      <c r="J32" s="14">
        <v>35</v>
      </c>
      <c r="K32" s="14">
        <v>36.6</v>
      </c>
      <c r="L32" s="14">
        <v>37</v>
      </c>
      <c r="M32" s="14">
        <v>37</v>
      </c>
      <c r="N32" s="14">
        <v>37</v>
      </c>
      <c r="O32" s="14">
        <v>35.5</v>
      </c>
      <c r="P32" s="14">
        <v>34</v>
      </c>
      <c r="Q32" s="14">
        <v>34</v>
      </c>
      <c r="R32" s="14">
        <v>34</v>
      </c>
      <c r="S32" s="14">
        <v>26.6</v>
      </c>
      <c r="T32" s="14">
        <v>40</v>
      </c>
    </row>
    <row r="33" spans="1:20" s="13" customFormat="1" ht="15.75" customHeight="1" x14ac:dyDescent="0.25">
      <c r="A33" s="9">
        <v>1952</v>
      </c>
      <c r="B33" s="9">
        <v>12</v>
      </c>
      <c r="C33" s="10">
        <f t="shared" si="1"/>
        <v>38.733333333333334</v>
      </c>
      <c r="D33" s="10">
        <f t="shared" si="2"/>
        <v>464.8</v>
      </c>
      <c r="E33" s="11">
        <v>1661.6</v>
      </c>
      <c r="F33" s="14">
        <f t="shared" si="3"/>
        <v>42.898450946643713</v>
      </c>
      <c r="G33" s="12">
        <f t="shared" si="0"/>
        <v>2.3310865029690261E-2</v>
      </c>
      <c r="I33" s="14">
        <v>40</v>
      </c>
      <c r="J33" s="14">
        <v>40</v>
      </c>
      <c r="K33" s="14">
        <v>40.799999999999997</v>
      </c>
      <c r="L33" s="14">
        <v>41</v>
      </c>
      <c r="M33" s="14">
        <v>40.299999999999997</v>
      </c>
      <c r="N33" s="14">
        <v>39</v>
      </c>
      <c r="O33" s="14">
        <v>39</v>
      </c>
      <c r="P33" s="14">
        <v>39</v>
      </c>
      <c r="Q33" s="14">
        <v>37.700000000000003</v>
      </c>
      <c r="R33" s="14">
        <v>24</v>
      </c>
      <c r="S33" s="14">
        <v>42</v>
      </c>
      <c r="T33" s="14">
        <v>42</v>
      </c>
    </row>
    <row r="34" spans="1:20" s="13" customFormat="1" ht="15.75" customHeight="1" x14ac:dyDescent="0.25">
      <c r="A34" s="9">
        <v>1953</v>
      </c>
      <c r="B34" s="9">
        <v>12</v>
      </c>
      <c r="C34" s="10">
        <f t="shared" si="1"/>
        <v>20.075000000000003</v>
      </c>
      <c r="D34" s="10">
        <f t="shared" si="2"/>
        <v>240.90000000000003</v>
      </c>
      <c r="E34" s="11">
        <v>1661.6</v>
      </c>
      <c r="F34" s="14">
        <f t="shared" si="3"/>
        <v>82.769613947696129</v>
      </c>
      <c r="G34" s="12">
        <f t="shared" si="0"/>
        <v>1.2081728454501688E-2</v>
      </c>
      <c r="I34" s="14">
        <v>40.4</v>
      </c>
      <c r="J34" s="14">
        <v>37.5</v>
      </c>
      <c r="K34" s="14">
        <v>27.5</v>
      </c>
      <c r="L34" s="14">
        <v>0.9</v>
      </c>
      <c r="M34" s="14">
        <v>0</v>
      </c>
      <c r="N34" s="14">
        <v>0</v>
      </c>
      <c r="O34" s="14">
        <v>24.3</v>
      </c>
      <c r="P34" s="14">
        <v>42</v>
      </c>
      <c r="Q34" s="14">
        <v>38.9</v>
      </c>
      <c r="R34" s="14">
        <v>29.4</v>
      </c>
      <c r="S34" s="14">
        <v>0</v>
      </c>
      <c r="T34" s="14">
        <v>0</v>
      </c>
    </row>
    <row r="35" spans="1:20" s="13" customFormat="1" ht="15.75" customHeight="1" x14ac:dyDescent="0.25">
      <c r="A35" s="9">
        <v>1954</v>
      </c>
      <c r="B35" s="9">
        <v>12</v>
      </c>
      <c r="C35" s="10">
        <f t="shared" si="1"/>
        <v>9.0333333333333332</v>
      </c>
      <c r="D35" s="10">
        <f t="shared" si="2"/>
        <v>108.4</v>
      </c>
      <c r="E35" s="11">
        <v>1661.6</v>
      </c>
      <c r="F35" s="14">
        <f t="shared" si="3"/>
        <v>183.94095940959409</v>
      </c>
      <c r="G35" s="12">
        <f t="shared" si="0"/>
        <v>5.4365270422083133E-3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6.9</v>
      </c>
      <c r="O35" s="14">
        <v>18.7</v>
      </c>
      <c r="P35" s="14">
        <v>19</v>
      </c>
      <c r="Q35" s="14">
        <v>0</v>
      </c>
      <c r="R35" s="14">
        <v>0</v>
      </c>
      <c r="S35" s="14">
        <v>3.9</v>
      </c>
      <c r="T35" s="14">
        <v>59.9</v>
      </c>
    </row>
    <row r="36" spans="1:20" s="13" customFormat="1" ht="15.75" customHeight="1" x14ac:dyDescent="0.25">
      <c r="A36" s="9">
        <v>1955</v>
      </c>
      <c r="B36" s="9">
        <v>12</v>
      </c>
      <c r="C36" s="10">
        <f t="shared" si="1"/>
        <v>70.88333333333334</v>
      </c>
      <c r="D36" s="10">
        <f t="shared" si="2"/>
        <v>850.6</v>
      </c>
      <c r="E36" s="11">
        <v>1661.6</v>
      </c>
      <c r="F36" s="14">
        <f t="shared" si="3"/>
        <v>23.44133552786268</v>
      </c>
      <c r="G36" s="12">
        <f t="shared" si="0"/>
        <v>4.2659685443749006E-2</v>
      </c>
      <c r="I36" s="14">
        <v>60</v>
      </c>
      <c r="J36" s="14">
        <v>60</v>
      </c>
      <c r="K36" s="14">
        <v>61.5</v>
      </c>
      <c r="L36" s="14">
        <v>63</v>
      </c>
      <c r="M36" s="14">
        <v>62.5</v>
      </c>
      <c r="N36" s="14">
        <v>61.7</v>
      </c>
      <c r="O36" s="14">
        <v>61</v>
      </c>
      <c r="P36" s="14">
        <v>61</v>
      </c>
      <c r="Q36" s="14">
        <v>55.2</v>
      </c>
      <c r="R36" s="14">
        <v>47.1</v>
      </c>
      <c r="S36" s="14">
        <v>118.6</v>
      </c>
      <c r="T36" s="14">
        <v>139</v>
      </c>
    </row>
    <row r="37" spans="1:20" s="13" customFormat="1" ht="15.75" customHeight="1" x14ac:dyDescent="0.25">
      <c r="A37" s="9">
        <v>1956</v>
      </c>
      <c r="B37" s="9">
        <v>12</v>
      </c>
      <c r="C37" s="10">
        <f t="shared" si="1"/>
        <v>29.425000000000001</v>
      </c>
      <c r="D37" s="10">
        <f t="shared" si="2"/>
        <v>353.1</v>
      </c>
      <c r="E37" s="11">
        <v>1661.6</v>
      </c>
      <c r="F37" s="14">
        <f t="shared" si="3"/>
        <v>56.468988954970257</v>
      </c>
      <c r="G37" s="12">
        <f t="shared" si="0"/>
        <v>1.7708834857968224E-2</v>
      </c>
      <c r="I37" s="14">
        <v>139</v>
      </c>
      <c r="J37" s="14">
        <v>134.1</v>
      </c>
      <c r="K37" s="14">
        <v>23.1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5.9</v>
      </c>
      <c r="T37" s="14">
        <v>51</v>
      </c>
    </row>
    <row r="38" spans="1:20" s="13" customFormat="1" ht="15.75" customHeight="1" x14ac:dyDescent="0.25">
      <c r="A38" s="9">
        <v>1957</v>
      </c>
      <c r="B38" s="9">
        <v>12</v>
      </c>
      <c r="C38" s="10">
        <f t="shared" si="1"/>
        <v>34.141666666666666</v>
      </c>
      <c r="D38" s="10">
        <f t="shared" si="2"/>
        <v>409.7</v>
      </c>
      <c r="E38" s="11">
        <v>1661.6</v>
      </c>
      <c r="F38" s="14">
        <f t="shared" si="3"/>
        <v>48.667805711496214</v>
      </c>
      <c r="G38" s="12">
        <f t="shared" si="0"/>
        <v>2.0547464291445997E-2</v>
      </c>
      <c r="I38" s="14">
        <v>48</v>
      </c>
      <c r="J38" s="14">
        <v>48</v>
      </c>
      <c r="K38" s="14">
        <v>45</v>
      </c>
      <c r="L38" s="14">
        <v>37.5</v>
      </c>
      <c r="M38" s="14">
        <v>37</v>
      </c>
      <c r="N38" s="14">
        <v>37</v>
      </c>
      <c r="O38" s="14">
        <v>37</v>
      </c>
      <c r="P38" s="14">
        <v>8.5</v>
      </c>
      <c r="Q38" s="14">
        <v>2.2000000000000002</v>
      </c>
      <c r="R38" s="14">
        <v>0</v>
      </c>
      <c r="S38" s="14">
        <v>36.5</v>
      </c>
      <c r="T38" s="14">
        <v>73</v>
      </c>
    </row>
    <row r="39" spans="1:20" s="13" customFormat="1" ht="15.75" customHeight="1" x14ac:dyDescent="0.25">
      <c r="A39" s="9">
        <v>1958</v>
      </c>
      <c r="B39" s="9">
        <v>12</v>
      </c>
      <c r="C39" s="10">
        <f t="shared" si="1"/>
        <v>33.68333333333333</v>
      </c>
      <c r="D39" s="10">
        <f t="shared" si="2"/>
        <v>404.2</v>
      </c>
      <c r="E39" s="11">
        <v>1661.6</v>
      </c>
      <c r="F39" s="14">
        <f t="shared" si="3"/>
        <v>49.330034636318658</v>
      </c>
      <c r="G39" s="12">
        <f t="shared" si="0"/>
        <v>2.0271625742256459E-2</v>
      </c>
      <c r="I39" s="14">
        <v>73</v>
      </c>
      <c r="J39" s="14">
        <v>73</v>
      </c>
      <c r="K39" s="14">
        <v>75</v>
      </c>
      <c r="L39" s="14">
        <v>36</v>
      </c>
      <c r="M39" s="14">
        <v>2</v>
      </c>
      <c r="N39" s="14">
        <v>0.2</v>
      </c>
      <c r="O39" s="14">
        <v>0</v>
      </c>
      <c r="P39" s="14">
        <v>0</v>
      </c>
      <c r="Q39" s="14">
        <v>0</v>
      </c>
      <c r="R39" s="14">
        <v>0</v>
      </c>
      <c r="S39" s="14">
        <v>43</v>
      </c>
      <c r="T39" s="14">
        <v>102</v>
      </c>
    </row>
    <row r="40" spans="1:20" s="13" customFormat="1" ht="15.75" customHeight="1" x14ac:dyDescent="0.25">
      <c r="A40" s="9">
        <v>1959</v>
      </c>
      <c r="B40" s="9">
        <v>12</v>
      </c>
      <c r="C40" s="10">
        <f t="shared" si="1"/>
        <v>53.633333333333333</v>
      </c>
      <c r="D40" s="10">
        <f t="shared" si="2"/>
        <v>643.6</v>
      </c>
      <c r="E40" s="11">
        <v>1661.6</v>
      </c>
      <c r="F40" s="14">
        <f t="shared" si="3"/>
        <v>30.980733374766935</v>
      </c>
      <c r="G40" s="12">
        <f t="shared" si="0"/>
        <v>3.2278125501524639E-2</v>
      </c>
      <c r="I40" s="14">
        <v>101.7</v>
      </c>
      <c r="J40" s="14">
        <v>101.9</v>
      </c>
      <c r="K40" s="14">
        <v>105</v>
      </c>
      <c r="L40" s="14">
        <v>99.6</v>
      </c>
      <c r="M40" s="14">
        <v>40.5</v>
      </c>
      <c r="N40" s="14">
        <v>0</v>
      </c>
      <c r="O40" s="14">
        <v>0</v>
      </c>
      <c r="P40" s="14">
        <v>0</v>
      </c>
      <c r="Q40" s="14">
        <v>0</v>
      </c>
      <c r="R40" s="14">
        <v>44.5</v>
      </c>
      <c r="S40" s="14">
        <v>74.599999999999994</v>
      </c>
      <c r="T40" s="14">
        <v>75.8</v>
      </c>
    </row>
    <row r="41" spans="1:20" s="13" customFormat="1" ht="15.75" customHeight="1" x14ac:dyDescent="0.25">
      <c r="A41" s="9">
        <v>1960</v>
      </c>
      <c r="B41" s="9">
        <v>12</v>
      </c>
      <c r="C41" s="10">
        <f t="shared" si="1"/>
        <v>44.824999999999996</v>
      </c>
      <c r="D41" s="10">
        <f t="shared" si="2"/>
        <v>537.9</v>
      </c>
      <c r="E41" s="11">
        <v>1661.6</v>
      </c>
      <c r="F41" s="14">
        <f t="shared" si="3"/>
        <v>37.068600111544896</v>
      </c>
      <c r="G41" s="12">
        <f t="shared" si="0"/>
        <v>2.6977010110736638E-2</v>
      </c>
      <c r="I41" s="14">
        <v>91</v>
      </c>
      <c r="J41" s="14">
        <v>91</v>
      </c>
      <c r="K41" s="14">
        <v>77.3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77</v>
      </c>
      <c r="R41" s="14">
        <v>79.099999999999994</v>
      </c>
      <c r="S41" s="14">
        <v>57.5</v>
      </c>
      <c r="T41" s="14">
        <v>65</v>
      </c>
    </row>
    <row r="42" spans="1:20" s="13" customFormat="1" ht="15.75" customHeight="1" x14ac:dyDescent="0.25">
      <c r="A42" s="9">
        <v>1961</v>
      </c>
      <c r="B42" s="9">
        <v>12</v>
      </c>
      <c r="C42" s="10">
        <f t="shared" si="1"/>
        <v>39.583333333333336</v>
      </c>
      <c r="D42" s="10">
        <f t="shared" si="2"/>
        <v>475</v>
      </c>
      <c r="E42" s="11">
        <v>1661.6</v>
      </c>
      <c r="F42" s="14">
        <f t="shared" si="3"/>
        <v>41.977263157894733</v>
      </c>
      <c r="G42" s="12">
        <f t="shared" si="0"/>
        <v>2.3822420157278128E-2</v>
      </c>
      <c r="I42" s="14">
        <v>65</v>
      </c>
      <c r="J42" s="14">
        <v>64.599999999999994</v>
      </c>
      <c r="K42" s="14">
        <v>66</v>
      </c>
      <c r="L42" s="14">
        <v>66.400000000000006</v>
      </c>
      <c r="M42" s="14">
        <v>66</v>
      </c>
      <c r="N42" s="14">
        <v>66</v>
      </c>
      <c r="O42" s="14">
        <v>13.5</v>
      </c>
      <c r="P42" s="14">
        <v>0.3</v>
      </c>
      <c r="Q42" s="14">
        <v>0</v>
      </c>
      <c r="R42" s="14">
        <v>0</v>
      </c>
      <c r="S42" s="14">
        <v>25.7</v>
      </c>
      <c r="T42" s="14">
        <v>41.5</v>
      </c>
    </row>
    <row r="43" spans="1:20" s="13" customFormat="1" ht="15.75" customHeight="1" x14ac:dyDescent="0.25">
      <c r="A43" s="9">
        <v>1962</v>
      </c>
      <c r="B43" s="9">
        <v>12</v>
      </c>
      <c r="C43" s="10">
        <f t="shared" si="1"/>
        <v>21.833333333333332</v>
      </c>
      <c r="D43" s="10">
        <f t="shared" si="2"/>
        <v>262</v>
      </c>
      <c r="E43" s="11">
        <v>1661.6</v>
      </c>
      <c r="F43" s="14">
        <f t="shared" si="3"/>
        <v>76.103816793893131</v>
      </c>
      <c r="G43" s="12">
        <f t="shared" si="0"/>
        <v>1.3139945434119725E-2</v>
      </c>
      <c r="I43" s="14">
        <v>61</v>
      </c>
      <c r="J43" s="14">
        <v>61</v>
      </c>
      <c r="K43" s="14">
        <v>63.2</v>
      </c>
      <c r="L43" s="14">
        <v>3.8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21</v>
      </c>
      <c r="T43" s="14">
        <v>52</v>
      </c>
    </row>
    <row r="44" spans="1:20" s="13" customFormat="1" ht="15.75" customHeight="1" x14ac:dyDescent="0.25">
      <c r="A44" s="9">
        <v>1963</v>
      </c>
      <c r="B44" s="9">
        <v>12</v>
      </c>
      <c r="C44" s="10">
        <f t="shared" si="1"/>
        <v>23.025000000000002</v>
      </c>
      <c r="D44" s="10">
        <f t="shared" si="2"/>
        <v>276.3</v>
      </c>
      <c r="E44" s="11">
        <v>1661.6</v>
      </c>
      <c r="F44" s="14">
        <f t="shared" si="3"/>
        <v>72.165038002171542</v>
      </c>
      <c r="G44" s="12">
        <f t="shared" si="0"/>
        <v>1.3857125662012521E-2</v>
      </c>
      <c r="I44" s="14">
        <v>51.7</v>
      </c>
      <c r="J44" s="14">
        <v>50.6</v>
      </c>
      <c r="K44" s="14">
        <v>53</v>
      </c>
      <c r="L44" s="14">
        <v>31.2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38.799999999999997</v>
      </c>
      <c r="T44" s="14">
        <v>51</v>
      </c>
    </row>
    <row r="45" spans="1:20" s="13" customFormat="1" ht="15.75" customHeight="1" x14ac:dyDescent="0.25">
      <c r="A45" s="9">
        <v>1964</v>
      </c>
      <c r="B45" s="9">
        <v>12</v>
      </c>
      <c r="C45" s="10">
        <f t="shared" si="1"/>
        <v>27.799999999999997</v>
      </c>
      <c r="D45" s="10">
        <f t="shared" si="2"/>
        <v>333.59999999999997</v>
      </c>
      <c r="E45" s="11">
        <v>1661.6</v>
      </c>
      <c r="F45" s="14">
        <f t="shared" si="3"/>
        <v>59.769784172661872</v>
      </c>
      <c r="G45" s="12">
        <f t="shared" si="0"/>
        <v>1.6730861819932594E-2</v>
      </c>
      <c r="I45" s="14">
        <v>51</v>
      </c>
      <c r="J45" s="14">
        <v>51</v>
      </c>
      <c r="K45" s="14">
        <v>53.6</v>
      </c>
      <c r="L45" s="14">
        <v>51.5</v>
      </c>
      <c r="M45" s="14">
        <v>52</v>
      </c>
      <c r="N45" s="14">
        <v>6.9</v>
      </c>
      <c r="O45" s="14">
        <v>0</v>
      </c>
      <c r="P45" s="14">
        <v>0</v>
      </c>
      <c r="Q45" s="14">
        <v>0</v>
      </c>
      <c r="R45" s="14">
        <v>1.5</v>
      </c>
      <c r="S45" s="14">
        <v>29.9</v>
      </c>
      <c r="T45" s="14">
        <v>36.200000000000003</v>
      </c>
    </row>
    <row r="46" spans="1:20" s="13" customFormat="1" ht="15.75" customHeight="1" x14ac:dyDescent="0.25">
      <c r="A46" s="9">
        <v>1965</v>
      </c>
      <c r="B46" s="9">
        <v>12</v>
      </c>
      <c r="C46" s="10">
        <f t="shared" si="1"/>
        <v>25.625</v>
      </c>
      <c r="D46" s="10">
        <f t="shared" si="2"/>
        <v>307.5</v>
      </c>
      <c r="E46" s="11">
        <v>1661.6</v>
      </c>
      <c r="F46" s="14">
        <f t="shared" si="3"/>
        <v>64.842926829268293</v>
      </c>
      <c r="G46" s="12">
        <f t="shared" si="0"/>
        <v>1.5421882522869525E-2</v>
      </c>
      <c r="I46" s="14">
        <v>53</v>
      </c>
      <c r="J46" s="14">
        <v>53</v>
      </c>
      <c r="K46" s="14">
        <v>55.8</v>
      </c>
      <c r="L46" s="14">
        <v>57</v>
      </c>
      <c r="M46" s="14">
        <v>6.6</v>
      </c>
      <c r="N46" s="14">
        <v>0</v>
      </c>
      <c r="O46" s="14">
        <v>0</v>
      </c>
      <c r="P46" s="14">
        <v>0</v>
      </c>
      <c r="Q46" s="14">
        <v>0</v>
      </c>
      <c r="R46" s="14">
        <v>6.1</v>
      </c>
      <c r="S46" s="14">
        <v>38</v>
      </c>
      <c r="T46" s="14">
        <v>38</v>
      </c>
    </row>
    <row r="47" spans="1:20" s="13" customFormat="1" ht="15.75" customHeight="1" x14ac:dyDescent="0.25">
      <c r="A47" s="9">
        <v>1966</v>
      </c>
      <c r="B47" s="9">
        <v>12</v>
      </c>
      <c r="C47" s="10">
        <f t="shared" si="1"/>
        <v>26.041666666666668</v>
      </c>
      <c r="D47" s="10">
        <f t="shared" si="2"/>
        <v>312.5</v>
      </c>
      <c r="E47" s="11">
        <v>1661.6</v>
      </c>
      <c r="F47" s="14">
        <f t="shared" si="3"/>
        <v>63.80543999999999</v>
      </c>
      <c r="G47" s="12">
        <f t="shared" si="0"/>
        <v>1.5672644840314557E-2</v>
      </c>
      <c r="I47" s="14">
        <v>38</v>
      </c>
      <c r="J47" s="14">
        <v>38</v>
      </c>
      <c r="K47" s="14">
        <v>38.6</v>
      </c>
      <c r="L47" s="14">
        <v>39</v>
      </c>
      <c r="M47" s="14">
        <v>39</v>
      </c>
      <c r="N47" s="14">
        <v>39</v>
      </c>
      <c r="O47" s="14">
        <v>0</v>
      </c>
      <c r="P47" s="14">
        <v>0</v>
      </c>
      <c r="Q47" s="14">
        <v>0</v>
      </c>
      <c r="R47" s="14">
        <v>0</v>
      </c>
      <c r="S47" s="14">
        <v>39.9</v>
      </c>
      <c r="T47" s="14">
        <v>41</v>
      </c>
    </row>
    <row r="48" spans="1:20" s="13" customFormat="1" ht="15.75" customHeight="1" x14ac:dyDescent="0.25">
      <c r="A48" s="9">
        <v>1967</v>
      </c>
      <c r="B48" s="9">
        <v>12</v>
      </c>
      <c r="C48" s="10">
        <f t="shared" si="1"/>
        <v>29.883333333333329</v>
      </c>
      <c r="D48" s="10">
        <f t="shared" si="2"/>
        <v>358.59999999999997</v>
      </c>
      <c r="E48" s="11">
        <v>1661.6</v>
      </c>
      <c r="F48" s="14">
        <f t="shared" si="3"/>
        <v>55.602900167317351</v>
      </c>
      <c r="G48" s="12">
        <f t="shared" si="0"/>
        <v>1.7984673407157759E-2</v>
      </c>
      <c r="I48" s="14">
        <v>41</v>
      </c>
      <c r="J48" s="14">
        <v>41</v>
      </c>
      <c r="K48" s="14">
        <v>42.9</v>
      </c>
      <c r="L48" s="14">
        <v>41.5</v>
      </c>
      <c r="M48" s="14">
        <v>41</v>
      </c>
      <c r="N48" s="14">
        <v>41</v>
      </c>
      <c r="O48" s="14">
        <v>14.6</v>
      </c>
      <c r="P48" s="14">
        <v>0</v>
      </c>
      <c r="Q48" s="14">
        <v>0</v>
      </c>
      <c r="R48" s="14">
        <v>1</v>
      </c>
      <c r="S48" s="14">
        <v>43.7</v>
      </c>
      <c r="T48" s="14">
        <v>50.9</v>
      </c>
    </row>
    <row r="49" spans="1:20" s="13" customFormat="1" ht="15.75" customHeight="1" x14ac:dyDescent="0.25">
      <c r="A49" s="9">
        <v>1968</v>
      </c>
      <c r="B49" s="9">
        <v>12</v>
      </c>
      <c r="C49" s="10">
        <f>D49/B49</f>
        <v>32.258333333333333</v>
      </c>
      <c r="D49" s="10">
        <f>SUM(I49:T49)</f>
        <v>387.09999999999997</v>
      </c>
      <c r="E49" s="11">
        <v>1661.6</v>
      </c>
      <c r="F49" s="14">
        <f t="shared" si="3"/>
        <v>51.509170756910358</v>
      </c>
      <c r="G49" s="12">
        <f t="shared" si="0"/>
        <v>1.9414018616594447E-2</v>
      </c>
      <c r="I49" s="14">
        <v>61.9</v>
      </c>
      <c r="J49" s="14">
        <v>61</v>
      </c>
      <c r="K49" s="14">
        <v>63.4</v>
      </c>
      <c r="L49" s="14">
        <v>65</v>
      </c>
      <c r="M49" s="14">
        <v>41.9</v>
      </c>
      <c r="N49" s="14">
        <v>0</v>
      </c>
      <c r="O49" s="14">
        <v>0</v>
      </c>
      <c r="P49" s="14">
        <v>0</v>
      </c>
      <c r="Q49" s="14">
        <v>0</v>
      </c>
      <c r="R49" s="14">
        <v>7</v>
      </c>
      <c r="S49" s="14">
        <v>39.200000000000003</v>
      </c>
      <c r="T49" s="14">
        <v>47.7</v>
      </c>
    </row>
    <row r="50" spans="1:20" s="13" customFormat="1" ht="15.75" customHeight="1" x14ac:dyDescent="0.25">
      <c r="A50" s="9">
        <v>1969</v>
      </c>
      <c r="B50" s="9">
        <v>12</v>
      </c>
      <c r="C50" s="10">
        <f t="shared" si="1"/>
        <v>24.241666666666664</v>
      </c>
      <c r="D50" s="10">
        <f t="shared" si="2"/>
        <v>290.89999999999998</v>
      </c>
      <c r="E50" s="11">
        <v>1661.6</v>
      </c>
      <c r="F50" s="14">
        <f t="shared" si="3"/>
        <v>68.543141973186664</v>
      </c>
      <c r="G50" s="12">
        <f t="shared" si="0"/>
        <v>1.4589351628952012E-2</v>
      </c>
      <c r="I50" s="14">
        <v>62.4</v>
      </c>
      <c r="J50" s="14">
        <v>62</v>
      </c>
      <c r="K50" s="14">
        <v>64.8</v>
      </c>
      <c r="L50" s="14">
        <v>48.4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7.1</v>
      </c>
      <c r="S50" s="14">
        <v>39.9</v>
      </c>
      <c r="T50" s="14">
        <v>6.3</v>
      </c>
    </row>
    <row r="51" spans="1:20" s="13" customFormat="1" ht="15.75" customHeight="1" x14ac:dyDescent="0.25">
      <c r="A51" s="9">
        <v>1970</v>
      </c>
      <c r="B51" s="9">
        <v>12</v>
      </c>
      <c r="C51" s="10">
        <f t="shared" si="1"/>
        <v>39.18333333333333</v>
      </c>
      <c r="D51" s="10">
        <f t="shared" si="2"/>
        <v>470.19999999999993</v>
      </c>
      <c r="E51" s="11">
        <v>1661.6</v>
      </c>
      <c r="F51" s="14">
        <f t="shared" si="3"/>
        <v>42.405784772437265</v>
      </c>
      <c r="G51" s="12">
        <f t="shared" si="0"/>
        <v>2.3581688332530892E-2</v>
      </c>
      <c r="I51" s="14">
        <v>82.9</v>
      </c>
      <c r="J51" s="14">
        <v>83</v>
      </c>
      <c r="K51" s="14">
        <v>83</v>
      </c>
      <c r="L51" s="14">
        <v>32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30.7</v>
      </c>
      <c r="S51" s="14">
        <v>80.599999999999994</v>
      </c>
      <c r="T51" s="14">
        <v>78</v>
      </c>
    </row>
    <row r="52" spans="1:20" s="13" customFormat="1" ht="15.75" customHeight="1" x14ac:dyDescent="0.25">
      <c r="A52" s="9">
        <v>1971</v>
      </c>
      <c r="B52" s="9">
        <v>12</v>
      </c>
      <c r="C52" s="10">
        <f t="shared" si="1"/>
        <v>38.383333333333333</v>
      </c>
      <c r="D52" s="10">
        <f t="shared" si="2"/>
        <v>460.59999999999997</v>
      </c>
      <c r="E52" s="11">
        <v>1661.6</v>
      </c>
      <c r="F52" s="14">
        <f t="shared" si="3"/>
        <v>43.289622231871469</v>
      </c>
      <c r="G52" s="12">
        <f t="shared" si="0"/>
        <v>2.3100224683036432E-2</v>
      </c>
      <c r="I52" s="14">
        <v>83.6</v>
      </c>
      <c r="J52" s="14">
        <v>76.8</v>
      </c>
      <c r="K52" s="14">
        <v>80.8</v>
      </c>
      <c r="L52" s="14">
        <v>82</v>
      </c>
      <c r="M52" s="14">
        <v>13.7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53.7</v>
      </c>
      <c r="T52" s="14">
        <v>70</v>
      </c>
    </row>
    <row r="53" spans="1:20" s="13" customFormat="1" ht="15.75" customHeight="1" x14ac:dyDescent="0.25">
      <c r="A53" s="9">
        <v>1972</v>
      </c>
      <c r="B53" s="9">
        <v>12</v>
      </c>
      <c r="C53" s="10">
        <f t="shared" si="1"/>
        <v>28.866666666666664</v>
      </c>
      <c r="D53" s="10">
        <f t="shared" si="2"/>
        <v>346.4</v>
      </c>
      <c r="E53" s="11">
        <v>1661.6</v>
      </c>
      <c r="F53" s="14">
        <f t="shared" si="3"/>
        <v>57.561200923787531</v>
      </c>
      <c r="G53" s="12">
        <f t="shared" si="0"/>
        <v>1.737281335259188E-2</v>
      </c>
      <c r="I53" s="14">
        <v>70</v>
      </c>
      <c r="J53" s="14">
        <v>70</v>
      </c>
      <c r="K53" s="14">
        <v>0</v>
      </c>
      <c r="L53" s="14">
        <v>75</v>
      </c>
      <c r="M53" s="14">
        <v>18.899999999999999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22.5</v>
      </c>
      <c r="T53" s="14">
        <v>90</v>
      </c>
    </row>
    <row r="54" spans="1:20" s="13" customFormat="1" ht="15.75" customHeight="1" x14ac:dyDescent="0.25">
      <c r="A54" s="9">
        <v>1973</v>
      </c>
      <c r="B54" s="9">
        <v>12</v>
      </c>
      <c r="C54" s="10">
        <f t="shared" si="1"/>
        <v>15.933333333333332</v>
      </c>
      <c r="D54" s="10">
        <f t="shared" si="2"/>
        <v>191.2</v>
      </c>
      <c r="E54" s="11">
        <v>1661.6</v>
      </c>
      <c r="F54" s="14">
        <f t="shared" si="3"/>
        <v>104.28451882845189</v>
      </c>
      <c r="G54" s="12">
        <f t="shared" si="0"/>
        <v>9.5891510190980571E-3</v>
      </c>
      <c r="I54" s="14">
        <v>90</v>
      </c>
      <c r="J54" s="14">
        <v>90</v>
      </c>
      <c r="K54" s="14">
        <v>0</v>
      </c>
      <c r="L54" s="14">
        <v>11.2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</row>
    <row r="55" spans="1:20" s="13" customFormat="1" ht="15.75" customHeight="1" x14ac:dyDescent="0.25">
      <c r="A55" s="9">
        <v>1974</v>
      </c>
      <c r="B55" s="9">
        <v>12</v>
      </c>
      <c r="C55" s="10">
        <f t="shared" si="1"/>
        <v>65</v>
      </c>
      <c r="D55" s="10">
        <f t="shared" si="2"/>
        <v>780</v>
      </c>
      <c r="E55" s="11">
        <v>1661.6</v>
      </c>
      <c r="F55" s="14">
        <f t="shared" si="3"/>
        <v>25.56307692307692</v>
      </c>
      <c r="G55" s="12">
        <f t="shared" si="0"/>
        <v>3.9118921521425133E-2</v>
      </c>
      <c r="I55" s="14">
        <v>0</v>
      </c>
      <c r="J55" s="14">
        <v>0</v>
      </c>
      <c r="K55" s="14">
        <v>97.5</v>
      </c>
      <c r="L55" s="14">
        <v>97.5</v>
      </c>
      <c r="M55" s="14">
        <v>97.5</v>
      </c>
      <c r="N55" s="14">
        <v>97.5</v>
      </c>
      <c r="O55" s="14">
        <v>97.5</v>
      </c>
      <c r="P55" s="14">
        <v>97.5</v>
      </c>
      <c r="Q55" s="14">
        <v>97.5</v>
      </c>
      <c r="R55" s="14">
        <v>97.5</v>
      </c>
      <c r="S55" s="14">
        <v>0</v>
      </c>
      <c r="T55" s="14">
        <v>0</v>
      </c>
    </row>
    <row r="56" spans="1:20" s="13" customFormat="1" ht="15.75" customHeight="1" x14ac:dyDescent="0.25">
      <c r="A56" s="9">
        <v>1975</v>
      </c>
      <c r="B56" s="9">
        <v>12</v>
      </c>
      <c r="C56" s="10">
        <f t="shared" si="1"/>
        <v>15</v>
      </c>
      <c r="D56" s="10">
        <f t="shared" si="2"/>
        <v>180</v>
      </c>
      <c r="E56" s="11">
        <v>1661.6</v>
      </c>
      <c r="F56" s="14">
        <f t="shared" si="3"/>
        <v>110.77333333333333</v>
      </c>
      <c r="G56" s="12">
        <f t="shared" si="0"/>
        <v>9.027443428021184E-3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90</v>
      </c>
      <c r="T56" s="14">
        <v>90</v>
      </c>
    </row>
    <row r="57" spans="1:20" s="13" customFormat="1" ht="15.75" customHeight="1" x14ac:dyDescent="0.25">
      <c r="A57" s="9">
        <v>1976</v>
      </c>
      <c r="B57" s="9">
        <v>12</v>
      </c>
      <c r="C57" s="10">
        <f t="shared" si="1"/>
        <v>15</v>
      </c>
      <c r="D57" s="10">
        <f t="shared" si="2"/>
        <v>180</v>
      </c>
      <c r="E57" s="11">
        <v>1661.6</v>
      </c>
      <c r="F57" s="14">
        <f t="shared" si="3"/>
        <v>110.77333333333333</v>
      </c>
      <c r="G57" s="12">
        <f t="shared" si="0"/>
        <v>9.027443428021184E-3</v>
      </c>
      <c r="I57" s="14">
        <v>90</v>
      </c>
      <c r="J57" s="14">
        <v>90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</row>
    <row r="58" spans="1:20" s="13" customFormat="1" ht="15.75" customHeight="1" x14ac:dyDescent="0.25">
      <c r="A58" s="9">
        <v>1977</v>
      </c>
      <c r="B58" s="9">
        <v>12</v>
      </c>
      <c r="C58" s="10">
        <f t="shared" si="1"/>
        <v>65</v>
      </c>
      <c r="D58" s="10">
        <f t="shared" si="2"/>
        <v>780</v>
      </c>
      <c r="E58" s="11">
        <v>1661.6</v>
      </c>
      <c r="F58" s="14">
        <f t="shared" si="3"/>
        <v>25.56307692307692</v>
      </c>
      <c r="G58" s="12">
        <f t="shared" si="0"/>
        <v>3.9118921521425133E-2</v>
      </c>
      <c r="I58" s="14">
        <v>0</v>
      </c>
      <c r="J58" s="14">
        <v>0</v>
      </c>
      <c r="K58" s="14">
        <v>97.5</v>
      </c>
      <c r="L58" s="14">
        <v>97.5</v>
      </c>
      <c r="M58" s="14">
        <v>97.5</v>
      </c>
      <c r="N58" s="14">
        <v>97.5</v>
      </c>
      <c r="O58" s="14">
        <v>97.5</v>
      </c>
      <c r="P58" s="14">
        <v>97.5</v>
      </c>
      <c r="Q58" s="14">
        <v>97.5</v>
      </c>
      <c r="R58" s="14">
        <v>97.5</v>
      </c>
      <c r="S58" s="14">
        <v>0</v>
      </c>
      <c r="T58" s="14">
        <v>0</v>
      </c>
    </row>
    <row r="59" spans="1:20" s="13" customFormat="1" ht="15.75" customHeight="1" x14ac:dyDescent="0.25">
      <c r="A59" s="9">
        <v>1978</v>
      </c>
      <c r="B59" s="9">
        <v>12</v>
      </c>
      <c r="C59" s="10">
        <f t="shared" si="1"/>
        <v>15</v>
      </c>
      <c r="D59" s="10">
        <f t="shared" si="2"/>
        <v>180</v>
      </c>
      <c r="E59" s="11">
        <v>1661.6</v>
      </c>
      <c r="F59" s="14">
        <f t="shared" si="3"/>
        <v>110.77333333333333</v>
      </c>
      <c r="G59" s="12">
        <f t="shared" si="0"/>
        <v>9.027443428021184E-3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90</v>
      </c>
      <c r="T59" s="14">
        <v>90</v>
      </c>
    </row>
    <row r="60" spans="1:20" s="13" customFormat="1" ht="15.75" customHeight="1" x14ac:dyDescent="0.25">
      <c r="A60" s="9">
        <v>1979</v>
      </c>
      <c r="B60" s="9">
        <v>12</v>
      </c>
      <c r="C60" s="10">
        <f t="shared" si="1"/>
        <v>15</v>
      </c>
      <c r="D60" s="10">
        <f t="shared" si="2"/>
        <v>180</v>
      </c>
      <c r="E60" s="11">
        <v>1661.6</v>
      </c>
      <c r="F60" s="14">
        <f t="shared" si="3"/>
        <v>110.77333333333333</v>
      </c>
      <c r="G60" s="12">
        <f t="shared" si="0"/>
        <v>9.027443428021184E-3</v>
      </c>
      <c r="I60" s="14">
        <v>90</v>
      </c>
      <c r="J60" s="14">
        <v>90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1980</v>
      </c>
      <c r="B61" s="9">
        <v>12</v>
      </c>
      <c r="C61" s="10">
        <f t="shared" si="1"/>
        <v>65</v>
      </c>
      <c r="D61" s="10">
        <f t="shared" si="2"/>
        <v>780</v>
      </c>
      <c r="E61" s="11">
        <v>1661.6</v>
      </c>
      <c r="F61" s="14">
        <f t="shared" si="3"/>
        <v>25.56307692307692</v>
      </c>
      <c r="G61" s="12">
        <f t="shared" si="0"/>
        <v>3.9118921521425133E-2</v>
      </c>
      <c r="I61" s="14">
        <v>0</v>
      </c>
      <c r="J61" s="14">
        <v>0</v>
      </c>
      <c r="K61" s="14">
        <v>97.5</v>
      </c>
      <c r="L61" s="14">
        <v>97.5</v>
      </c>
      <c r="M61" s="14">
        <v>97.5</v>
      </c>
      <c r="N61" s="14">
        <v>97.5</v>
      </c>
      <c r="O61" s="14">
        <v>97.5</v>
      </c>
      <c r="P61" s="14">
        <v>97.5</v>
      </c>
      <c r="Q61" s="14">
        <v>97.5</v>
      </c>
      <c r="R61" s="14">
        <v>97.5</v>
      </c>
      <c r="S61" s="14">
        <v>0</v>
      </c>
      <c r="T61" s="14">
        <v>0</v>
      </c>
    </row>
    <row r="62" spans="1:20" s="13" customFormat="1" ht="15.75" customHeight="1" x14ac:dyDescent="0.25">
      <c r="A62" s="9">
        <v>1981</v>
      </c>
      <c r="B62" s="9">
        <v>12</v>
      </c>
      <c r="C62" s="10">
        <f t="shared" si="1"/>
        <v>15</v>
      </c>
      <c r="D62" s="10">
        <f t="shared" si="2"/>
        <v>180</v>
      </c>
      <c r="E62" s="11">
        <v>1661.6</v>
      </c>
      <c r="F62" s="14">
        <f t="shared" si="3"/>
        <v>110.77333333333333</v>
      </c>
      <c r="G62" s="12">
        <f t="shared" si="0"/>
        <v>9.027443428021184E-3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90</v>
      </c>
      <c r="T62" s="14">
        <v>90</v>
      </c>
    </row>
    <row r="63" spans="1:20" s="13" customFormat="1" ht="15.75" customHeight="1" x14ac:dyDescent="0.25">
      <c r="A63" s="9">
        <v>1982</v>
      </c>
      <c r="B63" s="9">
        <v>12</v>
      </c>
      <c r="C63" s="10">
        <f t="shared" si="1"/>
        <v>11.25</v>
      </c>
      <c r="D63" s="10">
        <f t="shared" si="2"/>
        <v>135</v>
      </c>
      <c r="E63" s="11">
        <v>1661.6</v>
      </c>
      <c r="F63" s="14">
        <f t="shared" si="3"/>
        <v>147.69777777777776</v>
      </c>
      <c r="G63" s="12">
        <f t="shared" si="0"/>
        <v>6.7705825710158889E-3</v>
      </c>
      <c r="I63" s="14">
        <v>67.5</v>
      </c>
      <c r="J63" s="14">
        <v>67.5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1983</v>
      </c>
      <c r="B64" s="9">
        <v>12</v>
      </c>
      <c r="C64" s="10">
        <f t="shared" si="1"/>
        <v>37.333333333333336</v>
      </c>
      <c r="D64" s="10">
        <f t="shared" si="2"/>
        <v>448</v>
      </c>
      <c r="E64" s="11">
        <v>1661.6</v>
      </c>
      <c r="F64" s="14">
        <f t="shared" si="3"/>
        <v>44.507142857142853</v>
      </c>
      <c r="G64" s="12">
        <f t="shared" si="0"/>
        <v>2.2468303643074949E-2</v>
      </c>
      <c r="I64" s="14">
        <v>0</v>
      </c>
      <c r="J64" s="14">
        <v>0</v>
      </c>
      <c r="K64" s="14">
        <v>56</v>
      </c>
      <c r="L64" s="14">
        <v>56</v>
      </c>
      <c r="M64" s="14">
        <v>56</v>
      </c>
      <c r="N64" s="14">
        <v>56</v>
      </c>
      <c r="O64" s="14">
        <v>56</v>
      </c>
      <c r="P64" s="14">
        <v>56</v>
      </c>
      <c r="Q64" s="14">
        <v>56</v>
      </c>
      <c r="R64" s="14">
        <v>56</v>
      </c>
      <c r="S64" s="14">
        <v>0</v>
      </c>
      <c r="T64" s="14">
        <v>0</v>
      </c>
    </row>
    <row r="65" spans="1:20" s="13" customFormat="1" ht="15.75" customHeight="1" x14ac:dyDescent="0.25">
      <c r="A65" s="9">
        <v>1984</v>
      </c>
      <c r="B65" s="9">
        <v>12</v>
      </c>
      <c r="C65" s="10">
        <f t="shared" si="1"/>
        <v>7.833333333333333</v>
      </c>
      <c r="D65" s="10">
        <f t="shared" si="2"/>
        <v>94</v>
      </c>
      <c r="E65" s="11">
        <v>1661.6</v>
      </c>
      <c r="F65" s="14">
        <f t="shared" si="3"/>
        <v>212.11914893617021</v>
      </c>
      <c r="G65" s="12">
        <f t="shared" si="0"/>
        <v>4.7143315679666186E-3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47</v>
      </c>
      <c r="S65" s="14">
        <v>47</v>
      </c>
      <c r="T65" s="14">
        <v>0</v>
      </c>
    </row>
    <row r="66" spans="1:20" s="13" customFormat="1" ht="15.75" customHeight="1" x14ac:dyDescent="0.25">
      <c r="A66" s="9">
        <v>1985</v>
      </c>
      <c r="B66" s="9">
        <v>12</v>
      </c>
      <c r="C66" s="10">
        <f t="shared" si="1"/>
        <v>7.833333333333333</v>
      </c>
      <c r="D66" s="10">
        <f t="shared" si="2"/>
        <v>94</v>
      </c>
      <c r="E66" s="11">
        <v>1661.6</v>
      </c>
      <c r="F66" s="14">
        <f t="shared" si="3"/>
        <v>212.11914893617021</v>
      </c>
      <c r="G66" s="12">
        <f t="shared" si="0"/>
        <v>4.7143315679666186E-3</v>
      </c>
      <c r="I66" s="14">
        <v>47</v>
      </c>
      <c r="J66" s="14">
        <v>47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1986</v>
      </c>
      <c r="B67" s="9">
        <v>12</v>
      </c>
      <c r="C67" s="10">
        <f t="shared" si="1"/>
        <v>28</v>
      </c>
      <c r="D67" s="10">
        <f t="shared" si="2"/>
        <v>336</v>
      </c>
      <c r="E67" s="11">
        <v>1661.6</v>
      </c>
      <c r="F67" s="14">
        <f t="shared" si="3"/>
        <v>59.342857142857142</v>
      </c>
      <c r="G67" s="12">
        <f t="shared" si="0"/>
        <v>1.6851227732306212E-2</v>
      </c>
      <c r="I67" s="14">
        <v>0</v>
      </c>
      <c r="J67" s="14">
        <v>0</v>
      </c>
      <c r="K67" s="14">
        <v>0</v>
      </c>
      <c r="L67" s="14">
        <v>48</v>
      </c>
      <c r="M67" s="14">
        <v>48</v>
      </c>
      <c r="N67" s="14">
        <v>48</v>
      </c>
      <c r="O67" s="14">
        <v>48</v>
      </c>
      <c r="P67" s="14">
        <v>48</v>
      </c>
      <c r="Q67" s="14">
        <v>48</v>
      </c>
      <c r="R67" s="14">
        <v>48</v>
      </c>
      <c r="S67" s="14">
        <v>0</v>
      </c>
      <c r="T67" s="14">
        <v>0</v>
      </c>
    </row>
    <row r="68" spans="1:20" s="13" customFormat="1" ht="15.75" customHeight="1" x14ac:dyDescent="0.25">
      <c r="A68" s="9">
        <v>1987</v>
      </c>
      <c r="B68" s="9">
        <v>12</v>
      </c>
      <c r="C68" s="10">
        <f t="shared" si="1"/>
        <v>24.75</v>
      </c>
      <c r="D68" s="10">
        <f t="shared" si="2"/>
        <v>297</v>
      </c>
      <c r="E68" s="11">
        <v>1661.6</v>
      </c>
      <c r="F68" s="14">
        <f t="shared" si="3"/>
        <v>67.135353535353531</v>
      </c>
      <c r="G68" s="12">
        <f t="shared" ref="G68:G91" si="4">C68/E68</f>
        <v>1.4895281656234955E-2</v>
      </c>
      <c r="I68" s="14">
        <v>0</v>
      </c>
      <c r="J68" s="14">
        <v>0</v>
      </c>
      <c r="K68" s="14">
        <v>0</v>
      </c>
      <c r="L68" s="14">
        <v>0</v>
      </c>
      <c r="M68" s="14">
        <v>49.5</v>
      </c>
      <c r="N68" s="14">
        <v>49.5</v>
      </c>
      <c r="O68" s="14">
        <v>49.5</v>
      </c>
      <c r="P68" s="14">
        <v>49.5</v>
      </c>
      <c r="Q68" s="14">
        <v>49.5</v>
      </c>
      <c r="R68" s="14">
        <v>49.5</v>
      </c>
      <c r="S68" s="14">
        <v>0</v>
      </c>
      <c r="T68" s="14">
        <v>0</v>
      </c>
    </row>
    <row r="69" spans="1:20" s="13" customFormat="1" ht="15.75" customHeight="1" x14ac:dyDescent="0.25">
      <c r="A69" s="9">
        <v>1988</v>
      </c>
      <c r="B69" s="9">
        <v>12</v>
      </c>
      <c r="C69" s="10">
        <f t="shared" si="1"/>
        <v>24.75</v>
      </c>
      <c r="D69" s="10">
        <f t="shared" si="2"/>
        <v>297</v>
      </c>
      <c r="E69" s="11">
        <v>1661.6</v>
      </c>
      <c r="F69" s="14">
        <f t="shared" si="3"/>
        <v>67.135353535353531</v>
      </c>
      <c r="G69" s="12">
        <f t="shared" si="4"/>
        <v>1.4895281656234955E-2</v>
      </c>
      <c r="I69" s="14">
        <v>0</v>
      </c>
      <c r="J69" s="14">
        <v>0</v>
      </c>
      <c r="K69" s="14">
        <v>0</v>
      </c>
      <c r="L69" s="14">
        <v>0</v>
      </c>
      <c r="M69" s="14">
        <v>49.5</v>
      </c>
      <c r="N69" s="14">
        <v>49.5</v>
      </c>
      <c r="O69" s="14">
        <v>49.5</v>
      </c>
      <c r="P69" s="14">
        <v>49.5</v>
      </c>
      <c r="Q69" s="14">
        <v>49.5</v>
      </c>
      <c r="R69" s="14">
        <v>49.5</v>
      </c>
      <c r="S69" s="14">
        <v>0</v>
      </c>
      <c r="T69" s="14">
        <v>0</v>
      </c>
    </row>
    <row r="70" spans="1:20" s="13" customFormat="1" ht="15.75" customHeight="1" x14ac:dyDescent="0.25">
      <c r="A70" s="9">
        <v>1989</v>
      </c>
      <c r="B70" s="9">
        <v>12</v>
      </c>
      <c r="C70" s="10">
        <f t="shared" si="1"/>
        <v>24.75</v>
      </c>
      <c r="D70" s="10">
        <f t="shared" si="2"/>
        <v>297</v>
      </c>
      <c r="E70" s="11">
        <v>1661.6</v>
      </c>
      <c r="F70" s="14">
        <f t="shared" si="3"/>
        <v>67.135353535353531</v>
      </c>
      <c r="G70" s="12">
        <f t="shared" si="4"/>
        <v>1.4895281656234955E-2</v>
      </c>
      <c r="I70" s="14">
        <v>0</v>
      </c>
      <c r="J70" s="14">
        <v>0</v>
      </c>
      <c r="K70" s="14">
        <v>0</v>
      </c>
      <c r="L70" s="14">
        <v>0</v>
      </c>
      <c r="M70" s="14">
        <v>49.5</v>
      </c>
      <c r="N70" s="14">
        <v>49.5</v>
      </c>
      <c r="O70" s="14">
        <v>49.5</v>
      </c>
      <c r="P70" s="14">
        <v>49.5</v>
      </c>
      <c r="Q70" s="14">
        <v>49.5</v>
      </c>
      <c r="R70" s="14">
        <v>49.5</v>
      </c>
      <c r="S70" s="14">
        <v>0</v>
      </c>
      <c r="T70" s="14">
        <v>0</v>
      </c>
    </row>
    <row r="71" spans="1:20" s="13" customFormat="1" ht="15.75" customHeight="1" x14ac:dyDescent="0.25">
      <c r="A71" s="9">
        <v>1990</v>
      </c>
      <c r="B71" s="9">
        <v>12</v>
      </c>
      <c r="C71" s="10">
        <f t="shared" ref="C71:C84" si="5">D71/B71</f>
        <v>24.75</v>
      </c>
      <c r="D71" s="10">
        <f t="shared" ref="D71:D91" si="6">SUM(I71:T71)</f>
        <v>297</v>
      </c>
      <c r="E71" s="11">
        <v>1661.6</v>
      </c>
      <c r="F71" s="14">
        <f t="shared" ref="F71:F91" si="7">E71/C71</f>
        <v>67.135353535353531</v>
      </c>
      <c r="G71" s="12">
        <f t="shared" si="4"/>
        <v>1.4895281656234955E-2</v>
      </c>
      <c r="I71" s="14">
        <v>0</v>
      </c>
      <c r="J71" s="14">
        <v>0</v>
      </c>
      <c r="K71" s="14">
        <v>0</v>
      </c>
      <c r="L71" s="14">
        <v>0</v>
      </c>
      <c r="M71" s="14">
        <v>49.5</v>
      </c>
      <c r="N71" s="14">
        <v>49.5</v>
      </c>
      <c r="O71" s="14">
        <v>49.5</v>
      </c>
      <c r="P71" s="14">
        <v>49.5</v>
      </c>
      <c r="Q71" s="14">
        <v>49.5</v>
      </c>
      <c r="R71" s="14">
        <v>49.5</v>
      </c>
      <c r="S71" s="14">
        <v>0</v>
      </c>
      <c r="T71" s="14">
        <v>0</v>
      </c>
    </row>
    <row r="72" spans="1:20" s="13" customFormat="1" ht="15.75" customHeight="1" x14ac:dyDescent="0.25">
      <c r="A72" s="9">
        <v>1991</v>
      </c>
      <c r="B72" s="9">
        <v>12</v>
      </c>
      <c r="C72" s="10">
        <f t="shared" si="5"/>
        <v>14.166666666666666</v>
      </c>
      <c r="D72" s="10">
        <f t="shared" si="6"/>
        <v>170</v>
      </c>
      <c r="E72" s="11">
        <v>1661.6</v>
      </c>
      <c r="F72" s="14">
        <f t="shared" si="7"/>
        <v>117.28941176470587</v>
      </c>
      <c r="G72" s="12">
        <f t="shared" si="4"/>
        <v>8.5259187931311185E-3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85</v>
      </c>
      <c r="T72" s="14">
        <v>85</v>
      </c>
    </row>
    <row r="73" spans="1:20" s="13" customFormat="1" ht="15.75" customHeight="1" x14ac:dyDescent="0.25">
      <c r="A73" s="9">
        <v>1992</v>
      </c>
      <c r="B73" s="9">
        <v>12</v>
      </c>
      <c r="C73" s="10">
        <f t="shared" si="5"/>
        <v>14.166666666666666</v>
      </c>
      <c r="D73" s="10">
        <f t="shared" si="6"/>
        <v>170</v>
      </c>
      <c r="E73" s="11">
        <v>1661.6</v>
      </c>
      <c r="F73" s="14">
        <f t="shared" si="7"/>
        <v>117.28941176470587</v>
      </c>
      <c r="G73" s="12">
        <f t="shared" si="4"/>
        <v>8.5259187931311185E-3</v>
      </c>
      <c r="I73" s="14">
        <v>85</v>
      </c>
      <c r="J73" s="14">
        <v>85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</row>
    <row r="74" spans="1:20" s="13" customFormat="1" ht="15.75" customHeight="1" x14ac:dyDescent="0.25">
      <c r="A74" s="9">
        <v>1993</v>
      </c>
      <c r="B74" s="9">
        <v>12</v>
      </c>
      <c r="C74" s="10">
        <f t="shared" si="5"/>
        <v>62.666666666666664</v>
      </c>
      <c r="D74" s="10">
        <f t="shared" si="6"/>
        <v>752</v>
      </c>
      <c r="E74" s="11">
        <v>1661.6</v>
      </c>
      <c r="F74" s="14">
        <f t="shared" si="7"/>
        <v>26.514893617021276</v>
      </c>
      <c r="G74" s="12">
        <f t="shared" si="4"/>
        <v>3.7714652543732949E-2</v>
      </c>
      <c r="I74" s="14">
        <v>0</v>
      </c>
      <c r="J74" s="14">
        <v>0</v>
      </c>
      <c r="K74" s="14">
        <v>94</v>
      </c>
      <c r="L74" s="14">
        <v>94</v>
      </c>
      <c r="M74" s="14">
        <v>94</v>
      </c>
      <c r="N74" s="14">
        <v>94</v>
      </c>
      <c r="O74" s="14">
        <v>94</v>
      </c>
      <c r="P74" s="14">
        <v>94</v>
      </c>
      <c r="Q74" s="14">
        <v>94</v>
      </c>
      <c r="R74" s="14">
        <v>94</v>
      </c>
      <c r="S74" s="14">
        <v>0</v>
      </c>
      <c r="T74" s="14">
        <v>0</v>
      </c>
    </row>
    <row r="75" spans="1:20" s="13" customFormat="1" ht="15.75" customHeight="1" x14ac:dyDescent="0.25">
      <c r="A75" s="9">
        <v>1994</v>
      </c>
      <c r="B75" s="9">
        <v>12</v>
      </c>
      <c r="C75" s="10">
        <f t="shared" si="5"/>
        <v>75.833333333333329</v>
      </c>
      <c r="D75" s="10">
        <f t="shared" si="6"/>
        <v>910</v>
      </c>
      <c r="E75" s="11">
        <v>1661.6</v>
      </c>
      <c r="F75" s="14">
        <f t="shared" si="7"/>
        <v>21.911208791208793</v>
      </c>
      <c r="G75" s="12">
        <f t="shared" si="4"/>
        <v>4.5638741774995988E-2</v>
      </c>
      <c r="I75" s="14">
        <v>0</v>
      </c>
      <c r="J75" s="14">
        <v>0</v>
      </c>
      <c r="K75" s="14">
        <v>92.5</v>
      </c>
      <c r="L75" s="14">
        <v>92.5</v>
      </c>
      <c r="M75" s="14">
        <v>92.5</v>
      </c>
      <c r="N75" s="14">
        <v>92.5</v>
      </c>
      <c r="O75" s="14">
        <v>92.5</v>
      </c>
      <c r="P75" s="14">
        <v>92.5</v>
      </c>
      <c r="Q75" s="14">
        <v>92.5</v>
      </c>
      <c r="R75" s="14">
        <v>92.5</v>
      </c>
      <c r="S75" s="14">
        <v>85</v>
      </c>
      <c r="T75" s="14">
        <v>85</v>
      </c>
    </row>
    <row r="76" spans="1:20" s="13" customFormat="1" ht="15.75" customHeight="1" x14ac:dyDescent="0.25">
      <c r="A76" s="9">
        <v>1995</v>
      </c>
      <c r="B76" s="9">
        <v>12</v>
      </c>
      <c r="C76" s="10">
        <f t="shared" si="5"/>
        <v>14.166666666666666</v>
      </c>
      <c r="D76" s="10">
        <f t="shared" si="6"/>
        <v>170</v>
      </c>
      <c r="E76" s="11">
        <v>1661.6</v>
      </c>
      <c r="F76" s="14">
        <f t="shared" si="7"/>
        <v>117.28941176470587</v>
      </c>
      <c r="G76" s="12">
        <f t="shared" si="4"/>
        <v>8.5259187931311185E-3</v>
      </c>
      <c r="I76" s="14">
        <v>85</v>
      </c>
      <c r="J76" s="14">
        <v>85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</row>
    <row r="77" spans="1:20" s="13" customFormat="1" ht="15.75" customHeight="1" x14ac:dyDescent="0.25">
      <c r="A77" s="9">
        <v>1996</v>
      </c>
      <c r="B77" s="9">
        <v>12</v>
      </c>
      <c r="C77" s="10">
        <f t="shared" si="5"/>
        <v>61.666666666666664</v>
      </c>
      <c r="D77" s="10">
        <f t="shared" si="6"/>
        <v>740</v>
      </c>
      <c r="E77" s="11">
        <v>1661.6</v>
      </c>
      <c r="F77" s="14">
        <f t="shared" si="7"/>
        <v>26.944864864864865</v>
      </c>
      <c r="G77" s="12">
        <f t="shared" si="4"/>
        <v>3.7112822981864871E-2</v>
      </c>
      <c r="I77" s="14">
        <v>0</v>
      </c>
      <c r="J77" s="14">
        <v>0</v>
      </c>
      <c r="K77" s="14">
        <v>92.5</v>
      </c>
      <c r="L77" s="14">
        <v>92.5</v>
      </c>
      <c r="M77" s="14">
        <v>92.5</v>
      </c>
      <c r="N77" s="14">
        <v>92.5</v>
      </c>
      <c r="O77" s="14">
        <v>92.5</v>
      </c>
      <c r="P77" s="14">
        <v>92.5</v>
      </c>
      <c r="Q77" s="14">
        <v>92.5</v>
      </c>
      <c r="R77" s="14">
        <v>92.5</v>
      </c>
      <c r="S77" s="14">
        <v>0</v>
      </c>
      <c r="T77" s="14">
        <v>0</v>
      </c>
    </row>
    <row r="78" spans="1:20" s="13" customFormat="1" ht="15.75" customHeight="1" x14ac:dyDescent="0.25">
      <c r="A78" s="9">
        <v>1997</v>
      </c>
      <c r="B78" s="9">
        <v>12</v>
      </c>
      <c r="C78" s="10">
        <f t="shared" si="5"/>
        <v>15.666666666666666</v>
      </c>
      <c r="D78" s="10">
        <f t="shared" si="6"/>
        <v>188</v>
      </c>
      <c r="E78" s="11">
        <v>1661.6</v>
      </c>
      <c r="F78" s="14">
        <f t="shared" si="7"/>
        <v>106.0595744680851</v>
      </c>
      <c r="G78" s="12">
        <f t="shared" si="4"/>
        <v>9.4286631359332372E-3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94</v>
      </c>
      <c r="T78" s="14">
        <v>94</v>
      </c>
    </row>
    <row r="79" spans="1:20" s="13" customFormat="1" ht="15.75" customHeight="1" x14ac:dyDescent="0.25">
      <c r="A79" s="9">
        <v>1998</v>
      </c>
      <c r="B79" s="9">
        <v>12</v>
      </c>
      <c r="C79" s="10">
        <f t="shared" si="5"/>
        <v>15.666666666666666</v>
      </c>
      <c r="D79" s="10">
        <f t="shared" si="6"/>
        <v>188</v>
      </c>
      <c r="E79" s="11">
        <v>1661.6</v>
      </c>
      <c r="F79" s="14">
        <f t="shared" si="7"/>
        <v>106.0595744680851</v>
      </c>
      <c r="G79" s="12">
        <f t="shared" si="4"/>
        <v>9.4286631359332372E-3</v>
      </c>
      <c r="I79" s="14">
        <v>94</v>
      </c>
      <c r="J79" s="14">
        <v>94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</row>
    <row r="80" spans="1:20" s="13" customFormat="1" ht="15.75" customHeight="1" x14ac:dyDescent="0.25">
      <c r="A80" s="9">
        <v>1999</v>
      </c>
      <c r="B80" s="9">
        <v>12</v>
      </c>
      <c r="C80" s="10">
        <f t="shared" si="5"/>
        <v>60.400000000000006</v>
      </c>
      <c r="D80" s="10">
        <f t="shared" si="6"/>
        <v>724.80000000000007</v>
      </c>
      <c r="E80" s="11">
        <v>1661.6</v>
      </c>
      <c r="F80" s="14">
        <f t="shared" si="7"/>
        <v>27.509933774834433</v>
      </c>
      <c r="G80" s="12">
        <f t="shared" si="4"/>
        <v>3.6350505536831973E-2</v>
      </c>
      <c r="I80" s="14">
        <v>0</v>
      </c>
      <c r="J80" s="14">
        <v>0</v>
      </c>
      <c r="K80" s="14">
        <v>90.6</v>
      </c>
      <c r="L80" s="14">
        <v>90.6</v>
      </c>
      <c r="M80" s="14">
        <v>90.6</v>
      </c>
      <c r="N80" s="14">
        <v>90.6</v>
      </c>
      <c r="O80" s="14">
        <v>90.6</v>
      </c>
      <c r="P80" s="14">
        <v>90.6</v>
      </c>
      <c r="Q80" s="14">
        <v>90.6</v>
      </c>
      <c r="R80" s="14">
        <v>90.6</v>
      </c>
      <c r="S80" s="14">
        <v>0</v>
      </c>
      <c r="T80" s="14">
        <v>0</v>
      </c>
    </row>
    <row r="81" spans="1:20" s="13" customFormat="1" ht="15.75" customHeight="1" x14ac:dyDescent="0.25">
      <c r="A81" s="9">
        <v>2000</v>
      </c>
      <c r="B81" s="9">
        <v>12</v>
      </c>
      <c r="C81" s="10">
        <f t="shared" si="5"/>
        <v>14.166666666666666</v>
      </c>
      <c r="D81" s="10">
        <f t="shared" si="6"/>
        <v>170</v>
      </c>
      <c r="E81" s="11">
        <v>1661.6</v>
      </c>
      <c r="F81" s="14">
        <f t="shared" si="7"/>
        <v>117.28941176470587</v>
      </c>
      <c r="G81" s="12">
        <f t="shared" si="4"/>
        <v>8.5259187931311185E-3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85</v>
      </c>
      <c r="T81" s="14">
        <v>85</v>
      </c>
    </row>
    <row r="82" spans="1:20" s="13" customFormat="1" ht="15.75" customHeight="1" x14ac:dyDescent="0.25">
      <c r="A82" s="9">
        <v>2001</v>
      </c>
      <c r="B82" s="9">
        <v>12</v>
      </c>
      <c r="C82" s="10">
        <f t="shared" si="5"/>
        <v>14.166666666666666</v>
      </c>
      <c r="D82" s="10">
        <f t="shared" si="6"/>
        <v>170</v>
      </c>
      <c r="E82" s="11">
        <v>1661.6</v>
      </c>
      <c r="F82" s="14">
        <f t="shared" si="7"/>
        <v>117.28941176470587</v>
      </c>
      <c r="G82" s="12">
        <f t="shared" si="4"/>
        <v>8.5259187931311185E-3</v>
      </c>
      <c r="I82" s="14">
        <v>85</v>
      </c>
      <c r="J82" s="14">
        <v>85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</row>
    <row r="83" spans="1:20" s="13" customFormat="1" ht="15.75" customHeight="1" x14ac:dyDescent="0.25">
      <c r="A83" s="9">
        <v>2002</v>
      </c>
      <c r="B83" s="9">
        <v>12</v>
      </c>
      <c r="C83" s="10">
        <f t="shared" si="5"/>
        <v>61.666666666666664</v>
      </c>
      <c r="D83" s="10">
        <f t="shared" si="6"/>
        <v>740</v>
      </c>
      <c r="E83" s="11">
        <v>1661.6</v>
      </c>
      <c r="F83" s="14">
        <f>E83/C83</f>
        <v>26.944864864864865</v>
      </c>
      <c r="G83" s="12">
        <f t="shared" si="4"/>
        <v>3.7112822981864871E-2</v>
      </c>
      <c r="I83" s="14">
        <v>0</v>
      </c>
      <c r="J83" s="14">
        <v>0</v>
      </c>
      <c r="K83" s="14">
        <v>92.5</v>
      </c>
      <c r="L83" s="14">
        <v>92.5</v>
      </c>
      <c r="M83" s="14">
        <v>92.5</v>
      </c>
      <c r="N83" s="14">
        <v>92.5</v>
      </c>
      <c r="O83" s="14">
        <v>92.5</v>
      </c>
      <c r="P83" s="14">
        <v>92.5</v>
      </c>
      <c r="Q83" s="14">
        <v>92.5</v>
      </c>
      <c r="R83" s="14">
        <v>92.5</v>
      </c>
      <c r="S83" s="14">
        <v>0</v>
      </c>
      <c r="T83" s="14">
        <v>0</v>
      </c>
    </row>
    <row r="84" spans="1:20" s="13" customFormat="1" ht="15.75" customHeight="1" x14ac:dyDescent="0.25">
      <c r="A84" s="9">
        <v>2003</v>
      </c>
      <c r="B84" s="9">
        <v>12</v>
      </c>
      <c r="C84" s="10">
        <f t="shared" si="5"/>
        <v>14.166666666666666</v>
      </c>
      <c r="D84" s="10">
        <f t="shared" si="6"/>
        <v>170</v>
      </c>
      <c r="E84" s="11">
        <v>1661.6</v>
      </c>
      <c r="F84" s="14">
        <f t="shared" si="7"/>
        <v>117.28941176470587</v>
      </c>
      <c r="G84" s="12">
        <f t="shared" si="4"/>
        <v>8.5259187931311185E-3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85</v>
      </c>
      <c r="T84" s="14">
        <v>85</v>
      </c>
    </row>
    <row r="85" spans="1:20" s="13" customFormat="1" ht="15.75" customHeight="1" x14ac:dyDescent="0.25">
      <c r="A85" s="9">
        <v>2004</v>
      </c>
      <c r="B85" s="9">
        <v>12</v>
      </c>
      <c r="C85" s="10">
        <f>D85/B85</f>
        <v>14.166666666666666</v>
      </c>
      <c r="D85" s="10">
        <f t="shared" si="6"/>
        <v>170</v>
      </c>
      <c r="E85" s="11">
        <v>1661.6</v>
      </c>
      <c r="F85" s="14">
        <f t="shared" si="7"/>
        <v>117.28941176470587</v>
      </c>
      <c r="G85" s="12">
        <f t="shared" si="4"/>
        <v>8.5259187931311185E-3</v>
      </c>
      <c r="I85" s="14">
        <v>85</v>
      </c>
      <c r="J85" s="14">
        <v>85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</row>
    <row r="86" spans="1:20" s="13" customFormat="1" ht="15.75" customHeight="1" x14ac:dyDescent="0.25">
      <c r="A86" s="9">
        <v>2005</v>
      </c>
      <c r="B86" s="9">
        <v>12</v>
      </c>
      <c r="C86" s="10">
        <f t="shared" ref="C86:C91" si="8">D86/B86</f>
        <v>61.666666666666664</v>
      </c>
      <c r="D86" s="10">
        <f t="shared" si="6"/>
        <v>740</v>
      </c>
      <c r="E86" s="11">
        <v>1661.6</v>
      </c>
      <c r="F86" s="14">
        <f t="shared" si="7"/>
        <v>26.944864864864865</v>
      </c>
      <c r="G86" s="12">
        <f t="shared" si="4"/>
        <v>3.7112822981864871E-2</v>
      </c>
      <c r="I86" s="14">
        <v>0</v>
      </c>
      <c r="J86" s="14">
        <v>0</v>
      </c>
      <c r="K86" s="14">
        <v>92.5</v>
      </c>
      <c r="L86" s="14">
        <v>92.5</v>
      </c>
      <c r="M86" s="14">
        <v>92.5</v>
      </c>
      <c r="N86" s="14">
        <v>92.5</v>
      </c>
      <c r="O86" s="14">
        <v>92.5</v>
      </c>
      <c r="P86" s="14">
        <v>92.5</v>
      </c>
      <c r="Q86" s="14">
        <v>92.5</v>
      </c>
      <c r="R86" s="14">
        <v>92.5</v>
      </c>
      <c r="S86" s="14">
        <v>0</v>
      </c>
      <c r="T86" s="14">
        <v>0</v>
      </c>
    </row>
    <row r="87" spans="1:20" s="13" customFormat="1" ht="15.75" customHeight="1" x14ac:dyDescent="0.25">
      <c r="A87" s="9">
        <v>2006</v>
      </c>
      <c r="B87" s="9">
        <v>12</v>
      </c>
      <c r="C87" s="10">
        <f t="shared" si="8"/>
        <v>0.11666666666666665</v>
      </c>
      <c r="D87" s="10">
        <f t="shared" si="6"/>
        <v>1.4</v>
      </c>
      <c r="E87" s="11">
        <v>1661.6</v>
      </c>
      <c r="F87" s="14">
        <f t="shared" si="7"/>
        <v>14242.285714285716</v>
      </c>
      <c r="G87" s="12">
        <f t="shared" si="4"/>
        <v>7.0213448884609212E-5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1.4</v>
      </c>
      <c r="T87" s="14">
        <v>0</v>
      </c>
    </row>
    <row r="88" spans="1:20" s="13" customFormat="1" ht="15.75" customHeight="1" x14ac:dyDescent="0.25">
      <c r="A88" s="9">
        <v>2007</v>
      </c>
      <c r="B88" s="9">
        <v>12</v>
      </c>
      <c r="C88" s="10">
        <f t="shared" si="8"/>
        <v>15.325000000000001</v>
      </c>
      <c r="D88" s="10">
        <f t="shared" si="6"/>
        <v>183.9</v>
      </c>
      <c r="E88" s="11">
        <v>1661.6</v>
      </c>
      <c r="F88" s="14">
        <f t="shared" si="7"/>
        <v>108.42414355628057</v>
      </c>
      <c r="G88" s="12">
        <f t="shared" si="4"/>
        <v>9.2230380356283104E-3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183.9</v>
      </c>
      <c r="Q88" s="14">
        <v>0</v>
      </c>
      <c r="R88" s="14">
        <v>0</v>
      </c>
      <c r="S88" s="14">
        <v>0</v>
      </c>
      <c r="T88" s="14">
        <v>0</v>
      </c>
    </row>
    <row r="89" spans="1:20" s="13" customFormat="1" ht="15.75" customHeight="1" x14ac:dyDescent="0.25">
      <c r="A89" s="9">
        <v>2008</v>
      </c>
      <c r="B89" s="9">
        <v>12</v>
      </c>
      <c r="C89" s="10">
        <f t="shared" si="8"/>
        <v>28.958333333333332</v>
      </c>
      <c r="D89" s="10">
        <f t="shared" si="6"/>
        <v>347.5</v>
      </c>
      <c r="E89" s="11">
        <v>1661.6</v>
      </c>
      <c r="F89" s="14">
        <f t="shared" si="7"/>
        <v>57.378992805755395</v>
      </c>
      <c r="G89" s="12">
        <f t="shared" si="4"/>
        <v>1.7427981062429786E-2</v>
      </c>
      <c r="I89" s="14">
        <v>0</v>
      </c>
      <c r="J89" s="14">
        <v>0</v>
      </c>
      <c r="K89" s="14">
        <v>0</v>
      </c>
      <c r="L89" s="14">
        <v>0</v>
      </c>
      <c r="M89" s="14">
        <v>23.4</v>
      </c>
      <c r="N89" s="14">
        <v>310</v>
      </c>
      <c r="O89" s="14">
        <v>11.3</v>
      </c>
      <c r="P89" s="14">
        <v>2.8</v>
      </c>
      <c r="Q89" s="14">
        <v>0</v>
      </c>
      <c r="R89" s="14">
        <v>0</v>
      </c>
      <c r="S89" s="14">
        <v>0</v>
      </c>
      <c r="T89" s="14">
        <v>0</v>
      </c>
    </row>
    <row r="90" spans="1:20" s="13" customFormat="1" ht="15.75" customHeight="1" x14ac:dyDescent="0.25">
      <c r="A90" s="9">
        <v>2009</v>
      </c>
      <c r="B90" s="9">
        <v>12</v>
      </c>
      <c r="C90" s="10">
        <f t="shared" si="8"/>
        <v>49.56666666666667</v>
      </c>
      <c r="D90" s="10">
        <f t="shared" si="6"/>
        <v>594.80000000000007</v>
      </c>
      <c r="E90" s="11">
        <v>1661.6</v>
      </c>
      <c r="F90" s="14">
        <f t="shared" si="7"/>
        <v>33.522528581035637</v>
      </c>
      <c r="G90" s="12">
        <f t="shared" si="4"/>
        <v>2.9830685283261119E-2</v>
      </c>
      <c r="I90" s="14">
        <v>0</v>
      </c>
      <c r="J90" s="14">
        <v>0</v>
      </c>
      <c r="K90" s="14">
        <v>304.60000000000002</v>
      </c>
      <c r="L90" s="14">
        <v>252.5</v>
      </c>
      <c r="M90" s="14">
        <v>0</v>
      </c>
      <c r="N90" s="14">
        <v>17.3</v>
      </c>
      <c r="O90" s="14">
        <v>11.2</v>
      </c>
      <c r="P90" s="14">
        <v>0</v>
      </c>
      <c r="Q90" s="14">
        <v>0</v>
      </c>
      <c r="R90" s="14">
        <v>4.5</v>
      </c>
      <c r="S90" s="14">
        <v>4.7</v>
      </c>
      <c r="T90" s="14">
        <v>0</v>
      </c>
    </row>
    <row r="91" spans="1:20" s="13" customFormat="1" ht="15.75" customHeight="1" x14ac:dyDescent="0.25">
      <c r="A91" s="9">
        <v>2010</v>
      </c>
      <c r="B91" s="9">
        <v>12</v>
      </c>
      <c r="C91" s="10">
        <f t="shared" si="8"/>
        <v>38.950000000000003</v>
      </c>
      <c r="D91" s="10">
        <f t="shared" si="6"/>
        <v>467.40000000000003</v>
      </c>
      <c r="E91" s="11">
        <v>1661.6</v>
      </c>
      <c r="F91" s="14">
        <f t="shared" si="7"/>
        <v>42.659820282413342</v>
      </c>
      <c r="G91" s="12">
        <f t="shared" si="4"/>
        <v>2.3441261434761679E-2</v>
      </c>
      <c r="I91" s="14">
        <v>0</v>
      </c>
      <c r="J91" s="14">
        <v>0</v>
      </c>
      <c r="K91" s="14">
        <v>0</v>
      </c>
      <c r="L91" s="14">
        <v>60.3</v>
      </c>
      <c r="M91" s="14">
        <v>367.5</v>
      </c>
      <c r="N91" s="14">
        <v>39.6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</row>
    <row r="92" spans="1:20" s="13" customFormat="1" ht="15.75" customHeight="1" x14ac:dyDescent="0.25">
      <c r="A92" s="9">
        <v>2011</v>
      </c>
      <c r="B92" s="9">
        <v>12</v>
      </c>
      <c r="C92" s="10">
        <f t="shared" ref="C92:C101" si="9">D92/B92</f>
        <v>44.008333333333333</v>
      </c>
      <c r="D92" s="10">
        <f t="shared" ref="D92:D101" si="10">SUM(I92:T92)</f>
        <v>528.1</v>
      </c>
      <c r="E92" s="11">
        <v>1661.6</v>
      </c>
      <c r="F92" s="14">
        <f t="shared" ref="F92:F101" si="11">E92/C92</f>
        <v>37.756485514107176</v>
      </c>
      <c r="G92" s="12">
        <f t="shared" ref="G92:G101" si="12">C92/E92</f>
        <v>2.6485515968544378E-2</v>
      </c>
      <c r="I92" s="14">
        <v>44.5</v>
      </c>
      <c r="J92" s="14">
        <v>460</v>
      </c>
      <c r="K92" s="14">
        <v>23.6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13" customFormat="1" ht="15.75" customHeight="1" x14ac:dyDescent="0.25">
      <c r="A93" s="9">
        <v>2012</v>
      </c>
      <c r="B93" s="9">
        <v>12</v>
      </c>
      <c r="C93" s="10">
        <f t="shared" si="9"/>
        <v>60.925000000000004</v>
      </c>
      <c r="D93" s="10">
        <f t="shared" si="10"/>
        <v>731.1</v>
      </c>
      <c r="E93" s="11">
        <v>1661.6</v>
      </c>
      <c r="F93" s="14">
        <f t="shared" si="11"/>
        <v>27.272876487484609</v>
      </c>
      <c r="G93" s="12">
        <f t="shared" si="12"/>
        <v>3.6666466056812716E-2</v>
      </c>
      <c r="I93" s="14">
        <v>0</v>
      </c>
      <c r="J93" s="14">
        <v>0</v>
      </c>
      <c r="K93" s="14">
        <v>0</v>
      </c>
      <c r="L93" s="14">
        <v>177.7</v>
      </c>
      <c r="M93" s="14">
        <v>519</v>
      </c>
      <c r="N93" s="14">
        <v>32.1</v>
      </c>
      <c r="O93" s="14">
        <v>2.2999999999999998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</row>
    <row r="94" spans="1:20" s="13" customFormat="1" ht="15.75" customHeight="1" x14ac:dyDescent="0.25">
      <c r="A94" s="9">
        <v>2013</v>
      </c>
      <c r="B94" s="9">
        <v>12</v>
      </c>
      <c r="C94" s="10">
        <f t="shared" si="9"/>
        <v>43.4</v>
      </c>
      <c r="D94" s="10">
        <f t="shared" si="10"/>
        <v>520.79999999999995</v>
      </c>
      <c r="E94" s="11">
        <v>1661.6</v>
      </c>
      <c r="F94" s="14">
        <f t="shared" si="11"/>
        <v>38.285714285714285</v>
      </c>
      <c r="G94" s="12">
        <f t="shared" si="12"/>
        <v>2.6119402985074626E-2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385.4</v>
      </c>
      <c r="O94" s="14">
        <v>135.4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</row>
    <row r="95" spans="1:20" s="13" customFormat="1" ht="15.75" customHeight="1" x14ac:dyDescent="0.25">
      <c r="A95" s="9">
        <v>2014</v>
      </c>
      <c r="B95" s="9">
        <v>12</v>
      </c>
      <c r="C95" s="10">
        <f t="shared" si="9"/>
        <v>20</v>
      </c>
      <c r="D95" s="10">
        <f t="shared" si="10"/>
        <v>240</v>
      </c>
      <c r="E95" s="11">
        <v>1661.6</v>
      </c>
      <c r="F95" s="14">
        <f t="shared" si="11"/>
        <v>83.08</v>
      </c>
      <c r="G95" s="12">
        <f t="shared" si="12"/>
        <v>1.2036591237361579E-2</v>
      </c>
      <c r="I95" s="14">
        <v>0</v>
      </c>
      <c r="J95" s="14">
        <v>0</v>
      </c>
      <c r="K95" s="14">
        <v>0</v>
      </c>
      <c r="L95" s="14">
        <v>0</v>
      </c>
      <c r="M95" s="14">
        <v>240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</row>
    <row r="96" spans="1:20" s="13" customFormat="1" ht="15.75" customHeight="1" x14ac:dyDescent="0.25">
      <c r="A96" s="9">
        <v>2015</v>
      </c>
      <c r="B96" s="9">
        <v>12</v>
      </c>
      <c r="C96" s="10">
        <f t="shared" si="9"/>
        <v>32.625</v>
      </c>
      <c r="D96" s="10">
        <f t="shared" si="10"/>
        <v>391.5</v>
      </c>
      <c r="E96" s="11">
        <v>1661.6</v>
      </c>
      <c r="F96" s="14">
        <f t="shared" si="11"/>
        <v>50.930268199233716</v>
      </c>
      <c r="G96" s="12">
        <f t="shared" si="12"/>
        <v>1.9634689455946076E-2</v>
      </c>
      <c r="I96" s="14">
        <v>0</v>
      </c>
      <c r="J96" s="14">
        <v>0</v>
      </c>
      <c r="K96" s="14">
        <v>0</v>
      </c>
      <c r="L96" s="14">
        <v>0</v>
      </c>
      <c r="M96" s="14">
        <v>360.2</v>
      </c>
      <c r="N96" s="14">
        <v>31.3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</row>
    <row r="97" spans="1:20" s="13" customFormat="1" ht="15.75" customHeight="1" x14ac:dyDescent="0.25">
      <c r="A97" s="9">
        <v>2016</v>
      </c>
      <c r="B97" s="9">
        <v>12</v>
      </c>
      <c r="C97" s="10">
        <f t="shared" si="9"/>
        <v>38.180833333333332</v>
      </c>
      <c r="D97" s="10">
        <f t="shared" si="10"/>
        <v>458.17</v>
      </c>
      <c r="E97" s="11">
        <v>1661.6</v>
      </c>
      <c r="F97" s="14">
        <f t="shared" si="11"/>
        <v>43.519217757600892</v>
      </c>
      <c r="G97" s="12">
        <f t="shared" si="12"/>
        <v>2.2978354196758144E-2</v>
      </c>
      <c r="I97" s="14">
        <v>0</v>
      </c>
      <c r="J97" s="14">
        <v>0</v>
      </c>
      <c r="K97" s="14">
        <v>0</v>
      </c>
      <c r="L97" s="14">
        <v>8.4</v>
      </c>
      <c r="M97" s="14">
        <v>444.97</v>
      </c>
      <c r="N97" s="14">
        <v>4.8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</row>
    <row r="98" spans="1:20" s="13" customFormat="1" ht="15.75" customHeight="1" x14ac:dyDescent="0.25">
      <c r="A98" s="9">
        <v>2017</v>
      </c>
      <c r="B98" s="9">
        <v>12</v>
      </c>
      <c r="C98" s="10">
        <f t="shared" si="9"/>
        <v>25.671166666666668</v>
      </c>
      <c r="D98" s="10">
        <f t="shared" si="10"/>
        <v>308.05400000000003</v>
      </c>
      <c r="E98" s="11">
        <v>1661.6</v>
      </c>
      <c r="F98" s="14">
        <f t="shared" si="11"/>
        <v>64.726314217637167</v>
      </c>
      <c r="G98" s="12">
        <f t="shared" si="12"/>
        <v>1.5449666987642434E-2</v>
      </c>
      <c r="I98" s="14">
        <v>6.45</v>
      </c>
      <c r="J98" s="14">
        <v>0</v>
      </c>
      <c r="K98" s="14">
        <v>0</v>
      </c>
      <c r="L98" s="14">
        <v>0</v>
      </c>
      <c r="M98" s="14">
        <v>0</v>
      </c>
      <c r="N98" s="14">
        <v>26.16</v>
      </c>
      <c r="O98" s="14">
        <v>274.67</v>
      </c>
      <c r="P98" s="14">
        <v>0.77400000000000002</v>
      </c>
      <c r="Q98" s="14">
        <v>0</v>
      </c>
      <c r="R98" s="14">
        <v>0</v>
      </c>
      <c r="S98" s="14">
        <v>0</v>
      </c>
      <c r="T98" s="14">
        <v>0</v>
      </c>
    </row>
    <row r="99" spans="1:20" s="13" customFormat="1" ht="15.75" customHeight="1" x14ac:dyDescent="0.25">
      <c r="A99" s="9">
        <v>2018</v>
      </c>
      <c r="B99" s="9">
        <v>12</v>
      </c>
      <c r="C99" s="10">
        <f t="shared" si="9"/>
        <v>4.2166666666666659</v>
      </c>
      <c r="D99" s="10">
        <f t="shared" si="10"/>
        <v>50.599999999999994</v>
      </c>
      <c r="E99" s="11">
        <v>1661.6</v>
      </c>
      <c r="F99" s="14">
        <f t="shared" si="11"/>
        <v>394.0553359683795</v>
      </c>
      <c r="G99" s="12">
        <f t="shared" si="12"/>
        <v>2.5377146525437325E-3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23.9</v>
      </c>
      <c r="O99" s="14">
        <v>26.7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</row>
    <row r="100" spans="1:20" s="13" customFormat="1" ht="15.75" customHeight="1" x14ac:dyDescent="0.25">
      <c r="A100" s="9">
        <v>2019</v>
      </c>
      <c r="B100" s="9">
        <v>12</v>
      </c>
      <c r="C100" s="10">
        <f t="shared" si="9"/>
        <v>10.775</v>
      </c>
      <c r="D100" s="10">
        <f t="shared" si="10"/>
        <v>129.30000000000001</v>
      </c>
      <c r="E100" s="11">
        <v>1661.6</v>
      </c>
      <c r="F100" s="14">
        <f t="shared" si="11"/>
        <v>154.2088167053364</v>
      </c>
      <c r="G100" s="12">
        <f t="shared" si="12"/>
        <v>6.4847135291285513E-3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42.3</v>
      </c>
      <c r="O100" s="14">
        <v>87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</row>
    <row r="101" spans="1:20" s="13" customFormat="1" ht="15.75" customHeight="1" x14ac:dyDescent="0.25">
      <c r="A101" s="9">
        <v>2020</v>
      </c>
      <c r="B101" s="9">
        <v>12</v>
      </c>
      <c r="C101" s="10">
        <f t="shared" si="9"/>
        <v>13.983333333333334</v>
      </c>
      <c r="D101" s="10">
        <f t="shared" si="10"/>
        <v>167.8</v>
      </c>
      <c r="E101" s="11">
        <v>1661.6</v>
      </c>
      <c r="F101" s="14">
        <f t="shared" si="11"/>
        <v>118.82717520858164</v>
      </c>
      <c r="G101" s="12">
        <f t="shared" si="12"/>
        <v>8.4155833734553057E-3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43.4</v>
      </c>
      <c r="O101" s="14">
        <v>124.4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</row>
    <row r="102" spans="1:20" ht="15.75" customHeight="1" x14ac:dyDescent="0.25">
      <c r="A102" s="9">
        <v>2021</v>
      </c>
      <c r="B102" s="9">
        <v>12</v>
      </c>
      <c r="C102" s="10">
        <f t="shared" ref="C102" si="13">D102/B102</f>
        <v>26.933333333333334</v>
      </c>
      <c r="D102" s="10">
        <f t="shared" ref="D102" si="14">SUM(I102:T102)</f>
        <v>323.2</v>
      </c>
      <c r="E102" s="11">
        <v>1661.6</v>
      </c>
      <c r="F102" s="14">
        <f t="shared" ref="F102" si="15">E102/C102</f>
        <v>61.693069306930688</v>
      </c>
      <c r="G102" s="12">
        <f t="shared" ref="G102" si="16">C102/E102</f>
        <v>1.6209276199646929E-2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270.8</v>
      </c>
      <c r="R102" s="17">
        <v>52.4</v>
      </c>
      <c r="S102" s="17">
        <v>0</v>
      </c>
      <c r="T102" s="17">
        <v>0</v>
      </c>
    </row>
    <row r="103" spans="1:20" ht="15.75" customHeight="1" x14ac:dyDescent="0.25">
      <c r="A103" s="9">
        <v>2022</v>
      </c>
      <c r="B103" s="9">
        <v>12</v>
      </c>
      <c r="C103" s="10">
        <f t="shared" ref="C103" si="17">D103/B103</f>
        <v>3.4916666666666667</v>
      </c>
      <c r="D103" s="10">
        <f t="shared" ref="D103" si="18">SUM(I103:T103)</f>
        <v>41.9</v>
      </c>
      <c r="E103" s="11">
        <v>1661.6</v>
      </c>
      <c r="F103" s="14">
        <f t="shared" ref="F103" si="19">E103/C103</f>
        <v>475.87589498806682</v>
      </c>
      <c r="G103" s="12">
        <f t="shared" ref="G103" si="20">C103/E103</f>
        <v>2.1013882201893759E-3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41.9</v>
      </c>
    </row>
    <row r="104" spans="1:20" ht="15.75" customHeight="1" x14ac:dyDescent="0.25">
      <c r="A104" s="9">
        <v>2023</v>
      </c>
      <c r="B104" s="9">
        <v>12</v>
      </c>
      <c r="C104" s="10">
        <f t="shared" ref="C104" si="21">D104/B104</f>
        <v>41.074999999999996</v>
      </c>
      <c r="D104" s="10">
        <f t="shared" ref="D104" si="22">SUM(I104:T104)</f>
        <v>492.9</v>
      </c>
      <c r="E104" s="11">
        <v>1661.6</v>
      </c>
      <c r="F104" s="14">
        <f t="shared" ref="F104" si="23">E104/C104</f>
        <v>40.452830188679251</v>
      </c>
      <c r="G104" s="12">
        <f t="shared" ref="G104" si="24">C104/E104</f>
        <v>2.4720149253731342E-2</v>
      </c>
      <c r="I104" s="17">
        <v>325</v>
      </c>
      <c r="J104" s="17">
        <v>167.9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</row>
    <row r="105" spans="1:20" ht="15.75" customHeight="1" x14ac:dyDescent="0.25">
      <c r="A105" s="9">
        <v>2024</v>
      </c>
      <c r="B105" s="9">
        <v>12</v>
      </c>
      <c r="C105" s="10">
        <f t="shared" ref="C105" si="25">D105/B105</f>
        <v>33.133602150537634</v>
      </c>
      <c r="D105" s="10">
        <f t="shared" ref="D105" si="26">SUM(I105:T105)</f>
        <v>397.60322580645163</v>
      </c>
      <c r="E105" s="11">
        <v>1661.6</v>
      </c>
      <c r="F105" s="14">
        <f t="shared" ref="F105" si="27">E105/C105</f>
        <v>50.148486495695984</v>
      </c>
      <c r="G105" s="12">
        <f t="shared" ref="G105" si="28">C105/E105</f>
        <v>1.9940781265369304E-2</v>
      </c>
      <c r="I105" s="17">
        <v>0</v>
      </c>
      <c r="J105" s="17">
        <v>0</v>
      </c>
      <c r="K105" s="17">
        <v>0</v>
      </c>
      <c r="L105" s="17">
        <v>184.7</v>
      </c>
      <c r="M105" s="17">
        <v>212.90322580645162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</row>
    <row r="106" spans="1:20" ht="15.75" customHeight="1" x14ac:dyDescent="0.25">
      <c r="A106" s="9">
        <v>2025</v>
      </c>
      <c r="B106" s="9">
        <v>12</v>
      </c>
      <c r="C106" s="10">
        <f t="shared" ref="C106" si="29">D106/B106</f>
        <v>43.300000000000004</v>
      </c>
      <c r="D106" s="10">
        <f t="shared" ref="D106" si="30">SUM(I106:T106)</f>
        <v>519.6</v>
      </c>
      <c r="E106" s="11">
        <v>1661.6</v>
      </c>
      <c r="F106" s="14">
        <f t="shared" ref="F106" si="31">E106/C106</f>
        <v>38.37413394919168</v>
      </c>
      <c r="G106" s="12">
        <f t="shared" ref="G106" si="32">C106/E106</f>
        <v>2.6059220028887824E-2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142.6</v>
      </c>
      <c r="T106" s="17">
        <v>377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2190"/>
  <sheetViews>
    <sheetView zoomScale="80" zoomScaleNormal="80" zoomScaleSheetLayoutView="75" workbookViewId="0">
      <pane ySplit="1515" topLeftCell="A76" activePane="bottomLeft"/>
      <selection sqref="A1:XFD1048576"/>
      <selection pane="bottomLeft" activeCell="A112" sqref="A112:XFD112"/>
    </sheetView>
  </sheetViews>
  <sheetFormatPr defaultColWidth="8.88671875" defaultRowHeight="15.75" customHeight="1" x14ac:dyDescent="0.25"/>
  <cols>
    <col min="1" max="1" width="8.6640625" style="65" customWidth="1"/>
    <col min="2" max="2" width="9.44140625" style="65" customWidth="1"/>
    <col min="3" max="4" width="10.5546875" style="66" customWidth="1"/>
    <col min="5" max="5" width="10.5546875" style="67" customWidth="1"/>
    <col min="6" max="6" width="8.88671875" style="67" customWidth="1"/>
    <col min="7" max="7" width="10.109375" style="68" customWidth="1"/>
    <col min="8" max="8" width="8.88671875" style="65" customWidth="1"/>
    <col min="9" max="9" width="9.33203125" style="67" bestFit="1" customWidth="1"/>
    <col min="10" max="10" width="10.33203125" style="67" bestFit="1" customWidth="1"/>
    <col min="11" max="14" width="8.88671875" style="67"/>
    <col min="15" max="15" width="8.5546875" style="67" bestFit="1" customWidth="1"/>
    <col min="16" max="16" width="8.88671875" style="67"/>
    <col min="17" max="17" width="12.5546875" style="67" bestFit="1" customWidth="1"/>
    <col min="18" max="18" width="9.44140625" style="67" bestFit="1" customWidth="1"/>
    <col min="19" max="19" width="11.6640625" style="67" bestFit="1" customWidth="1"/>
    <col min="20" max="20" width="12" style="67" bestFit="1" customWidth="1"/>
    <col min="21" max="16384" width="8.88671875" style="65"/>
  </cols>
  <sheetData>
    <row r="1" spans="1:33" s="3" customFormat="1" ht="15" customHeight="1" x14ac:dyDescent="0.25">
      <c r="A1" s="125" t="s">
        <v>88</v>
      </c>
      <c r="B1" s="125"/>
      <c r="C1" s="125"/>
      <c r="D1" s="125"/>
      <c r="E1" s="125"/>
      <c r="F1" s="125"/>
      <c r="G1" s="125"/>
      <c r="I1" s="124" t="s">
        <v>14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33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33" s="63" customFormat="1" ht="15.75" customHeight="1" x14ac:dyDescent="0.3">
      <c r="A3" s="9">
        <v>1916</v>
      </c>
      <c r="B3" s="9">
        <v>12</v>
      </c>
      <c r="C3" s="10">
        <f>D3/B3</f>
        <v>1.2956989247311828</v>
      </c>
      <c r="D3" s="10">
        <f t="shared" ref="D3:D34" si="0">SUM(I3:T3)</f>
        <v>15.548387096774194</v>
      </c>
      <c r="E3" s="14">
        <v>269.97000000000003</v>
      </c>
      <c r="F3" s="14">
        <f t="shared" ref="F3:F63" si="1">E3/C3</f>
        <v>208.35858921161829</v>
      </c>
      <c r="G3" s="38">
        <f>C3/E3</f>
        <v>4.7994181750979099E-3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>
        <f>482/31</f>
        <v>15.548387096774194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63" customFormat="1" ht="15.75" customHeight="1" x14ac:dyDescent="0.3">
      <c r="A4" s="9">
        <v>1917</v>
      </c>
      <c r="B4" s="9">
        <v>12</v>
      </c>
      <c r="C4" s="10">
        <f t="shared" ref="C4:C50" si="2">D4/B4</f>
        <v>48.093637992831553</v>
      </c>
      <c r="D4" s="10">
        <f t="shared" si="0"/>
        <v>577.12365591397861</v>
      </c>
      <c r="E4" s="14">
        <v>269.97000000000003</v>
      </c>
      <c r="F4" s="14">
        <f t="shared" si="1"/>
        <v>5.6134243793376486</v>
      </c>
      <c r="G4" s="38">
        <f t="shared" ref="G4:G63" si="3">C4/E4</f>
        <v>0.17814437897852187</v>
      </c>
      <c r="I4" s="14">
        <f>2248/31</f>
        <v>72.516129032258064</v>
      </c>
      <c r="J4" s="14">
        <f>1792/28</f>
        <v>64</v>
      </c>
      <c r="K4" s="14">
        <f>1984/31</f>
        <v>64</v>
      </c>
      <c r="L4" s="14">
        <f>1972/30</f>
        <v>65.733333333333334</v>
      </c>
      <c r="M4" s="14">
        <v>63.1</v>
      </c>
      <c r="N4" s="14">
        <f>798/30</f>
        <v>26.6</v>
      </c>
      <c r="O4" s="14">
        <f>1637/31</f>
        <v>52.806451612903224</v>
      </c>
      <c r="P4" s="14">
        <f>1260/31</f>
        <v>40.645161290322584</v>
      </c>
      <c r="Q4" s="14">
        <f>615/30</f>
        <v>20.5</v>
      </c>
      <c r="R4" s="14">
        <v>22.3</v>
      </c>
      <c r="S4" s="14">
        <v>32.6</v>
      </c>
      <c r="T4" s="14">
        <f>1622/31</f>
        <v>52.322580645161288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63" customFormat="1" ht="15.75" customHeight="1" x14ac:dyDescent="0.3">
      <c r="A5" s="9">
        <v>1918</v>
      </c>
      <c r="B5" s="9">
        <v>12</v>
      </c>
      <c r="C5" s="10">
        <f t="shared" si="2"/>
        <v>27.904301075268819</v>
      </c>
      <c r="D5" s="10">
        <f t="shared" si="0"/>
        <v>334.85161290322583</v>
      </c>
      <c r="E5" s="14">
        <v>269.97000000000003</v>
      </c>
      <c r="F5" s="14">
        <f t="shared" si="1"/>
        <v>9.6748526068359606</v>
      </c>
      <c r="G5" s="38">
        <f t="shared" si="3"/>
        <v>0.10336074776926628</v>
      </c>
      <c r="I5" s="14">
        <f>1024/31</f>
        <v>33.032258064516128</v>
      </c>
      <c r="J5" s="14">
        <f>868/28</f>
        <v>31</v>
      </c>
      <c r="K5" s="14">
        <f>961/31</f>
        <v>31</v>
      </c>
      <c r="L5" s="14">
        <v>44.4</v>
      </c>
      <c r="M5" s="14">
        <v>39.4</v>
      </c>
      <c r="N5" s="14">
        <v>14.7</v>
      </c>
      <c r="O5" s="14">
        <f>403/31</f>
        <v>13</v>
      </c>
      <c r="P5" s="14">
        <f>295/31</f>
        <v>9.5161290322580641</v>
      </c>
      <c r="Q5" s="14">
        <f>210/30</f>
        <v>7</v>
      </c>
      <c r="R5" s="14">
        <f>217/31</f>
        <v>7</v>
      </c>
      <c r="S5" s="14">
        <f>987/30</f>
        <v>32.9</v>
      </c>
      <c r="T5" s="14">
        <f>2229/31</f>
        <v>71.903225806451616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63" customFormat="1" ht="15.75" customHeight="1" x14ac:dyDescent="0.3">
      <c r="A6" s="9">
        <v>1919</v>
      </c>
      <c r="B6" s="9">
        <v>12</v>
      </c>
      <c r="C6" s="10">
        <f t="shared" si="2"/>
        <v>55.255465949820781</v>
      </c>
      <c r="D6" s="10">
        <f t="shared" si="0"/>
        <v>663.0655913978494</v>
      </c>
      <c r="E6" s="14">
        <v>269.97000000000003</v>
      </c>
      <c r="F6" s="14">
        <f t="shared" si="1"/>
        <v>4.8858514783889113</v>
      </c>
      <c r="G6" s="38">
        <f t="shared" si="3"/>
        <v>0.20467261528992398</v>
      </c>
      <c r="I6" s="14">
        <f>2543/31</f>
        <v>82.032258064516128</v>
      </c>
      <c r="J6" s="14">
        <f>2324/28</f>
        <v>83</v>
      </c>
      <c r="K6" s="14">
        <f>2108/31</f>
        <v>68</v>
      </c>
      <c r="L6" s="14">
        <f>1770/30</f>
        <v>59</v>
      </c>
      <c r="M6" s="14">
        <f>2046/31</f>
        <v>66</v>
      </c>
      <c r="N6" s="14">
        <f>1980/30</f>
        <v>66</v>
      </c>
      <c r="O6" s="14">
        <f>1173/31</f>
        <v>37.838709677419352</v>
      </c>
      <c r="P6" s="14">
        <f>620/31</f>
        <v>20</v>
      </c>
      <c r="Q6" s="14">
        <f>600/30</f>
        <v>20</v>
      </c>
      <c r="R6" s="14">
        <f>305/31</f>
        <v>9.8387096774193541</v>
      </c>
      <c r="S6" s="14">
        <f>2101/30</f>
        <v>70.033333333333331</v>
      </c>
      <c r="T6" s="14">
        <f>2521/31</f>
        <v>81.322580645161295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s="63" customFormat="1" ht="15.75" customHeight="1" x14ac:dyDescent="0.3">
      <c r="A7" s="9">
        <v>1920</v>
      </c>
      <c r="B7" s="9">
        <v>12</v>
      </c>
      <c r="C7" s="10">
        <f t="shared" si="2"/>
        <v>80.12410394265234</v>
      </c>
      <c r="D7" s="10">
        <f t="shared" si="0"/>
        <v>961.48924731182808</v>
      </c>
      <c r="E7" s="14">
        <v>269.97000000000003</v>
      </c>
      <c r="F7" s="14">
        <f t="shared" si="1"/>
        <v>3.3693980552122884</v>
      </c>
      <c r="G7" s="38">
        <f t="shared" si="3"/>
        <v>0.29678891707468358</v>
      </c>
      <c r="I7" s="14">
        <v>84.4</v>
      </c>
      <c r="J7" s="14">
        <v>80</v>
      </c>
      <c r="K7" s="14">
        <f>2530/31</f>
        <v>81.612903225806448</v>
      </c>
      <c r="L7" s="14">
        <f>2460/30</f>
        <v>82</v>
      </c>
      <c r="M7" s="14">
        <v>88.8</v>
      </c>
      <c r="N7" s="14">
        <f>2542/30</f>
        <v>84.733333333333334</v>
      </c>
      <c r="O7" s="14">
        <v>75.3</v>
      </c>
      <c r="P7" s="14">
        <f>1200/31</f>
        <v>38.70967741935484</v>
      </c>
      <c r="Q7" s="14">
        <f>1140/30</f>
        <v>38</v>
      </c>
      <c r="R7" s="14">
        <v>83.2</v>
      </c>
      <c r="S7" s="14">
        <f>3772/30</f>
        <v>125.73333333333333</v>
      </c>
      <c r="T7" s="14">
        <f>3069/31</f>
        <v>99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s="63" customFormat="1" ht="15.75" customHeight="1" x14ac:dyDescent="0.3">
      <c r="A8" s="9">
        <v>1921</v>
      </c>
      <c r="B8" s="9">
        <v>12</v>
      </c>
      <c r="C8" s="10">
        <f t="shared" si="2"/>
        <v>37.129928315412194</v>
      </c>
      <c r="D8" s="10">
        <f t="shared" si="0"/>
        <v>445.5591397849463</v>
      </c>
      <c r="E8" s="14">
        <v>269.97000000000003</v>
      </c>
      <c r="F8" s="14">
        <f t="shared" si="1"/>
        <v>7.2709539783285466</v>
      </c>
      <c r="G8" s="38">
        <f t="shared" si="3"/>
        <v>0.13753353452388115</v>
      </c>
      <c r="I8" s="14">
        <v>52.5</v>
      </c>
      <c r="J8" s="14">
        <f>1400/28</f>
        <v>50</v>
      </c>
      <c r="K8" s="14">
        <f>1550/31</f>
        <v>50</v>
      </c>
      <c r="L8" s="14">
        <f>1500/30</f>
        <v>50</v>
      </c>
      <c r="M8" s="14">
        <v>11.6</v>
      </c>
      <c r="N8" s="14">
        <f>360/30</f>
        <v>12</v>
      </c>
      <c r="O8" s="14">
        <v>17.399999999999999</v>
      </c>
      <c r="P8" s="14">
        <f>589/31</f>
        <v>19</v>
      </c>
      <c r="Q8" s="14">
        <v>20.6</v>
      </c>
      <c r="R8" s="14">
        <f>1098/31</f>
        <v>35.41935483870968</v>
      </c>
      <c r="S8" s="14">
        <f>1927/30</f>
        <v>64.233333333333334</v>
      </c>
      <c r="T8" s="14">
        <f>1947/31</f>
        <v>62.806451612903224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s="63" customFormat="1" ht="15.75" customHeight="1" x14ac:dyDescent="0.3">
      <c r="A9" s="9">
        <v>1922</v>
      </c>
      <c r="B9" s="9">
        <v>12</v>
      </c>
      <c r="C9" s="10">
        <f t="shared" si="2"/>
        <v>42.136021505376341</v>
      </c>
      <c r="D9" s="10">
        <f t="shared" si="0"/>
        <v>505.63225806451607</v>
      </c>
      <c r="E9" s="14">
        <v>269.97000000000003</v>
      </c>
      <c r="F9" s="14">
        <f t="shared" si="1"/>
        <v>6.4071070394140852</v>
      </c>
      <c r="G9" s="38">
        <f t="shared" si="3"/>
        <v>0.15607668076221928</v>
      </c>
      <c r="I9" s="14">
        <f>1947/31</f>
        <v>62.806451612903224</v>
      </c>
      <c r="J9" s="14">
        <v>62.7</v>
      </c>
      <c r="K9" s="14">
        <f>1947/31</f>
        <v>62.806451612903224</v>
      </c>
      <c r="L9" s="14">
        <v>63.6</v>
      </c>
      <c r="M9" s="14">
        <f>0</f>
        <v>0</v>
      </c>
      <c r="N9" s="14">
        <v>0</v>
      </c>
      <c r="O9" s="14">
        <f>1488/31</f>
        <v>48</v>
      </c>
      <c r="P9" s="14">
        <v>47.9</v>
      </c>
      <c r="Q9" s="14">
        <f>1440/30</f>
        <v>48</v>
      </c>
      <c r="R9" s="14">
        <v>47.9</v>
      </c>
      <c r="S9" s="14">
        <f>435/30</f>
        <v>14.5</v>
      </c>
      <c r="T9" s="14">
        <f>1470/31</f>
        <v>47.41935483870968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s="63" customFormat="1" ht="15.75" customHeight="1" x14ac:dyDescent="0.3">
      <c r="A10" s="9">
        <v>1923</v>
      </c>
      <c r="B10" s="9">
        <v>12</v>
      </c>
      <c r="C10" s="10">
        <f t="shared" si="2"/>
        <v>26.516666666666666</v>
      </c>
      <c r="D10" s="10">
        <f t="shared" si="0"/>
        <v>318.2</v>
      </c>
      <c r="E10" s="14">
        <v>269.97000000000003</v>
      </c>
      <c r="F10" s="14">
        <f t="shared" si="1"/>
        <v>10.181143934632308</v>
      </c>
      <c r="G10" s="38">
        <f t="shared" si="3"/>
        <v>9.8220789964317004E-2</v>
      </c>
      <c r="I10" s="14">
        <f>1550/31</f>
        <v>50</v>
      </c>
      <c r="J10" s="14">
        <f>1400/28</f>
        <v>50</v>
      </c>
      <c r="K10" s="14">
        <f>1550/31</f>
        <v>50</v>
      </c>
      <c r="L10" s="14">
        <f>1500/30</f>
        <v>50</v>
      </c>
      <c r="M10" s="14">
        <v>24.1</v>
      </c>
      <c r="N10" s="14">
        <f>0</f>
        <v>0</v>
      </c>
      <c r="O10" s="14">
        <v>0</v>
      </c>
      <c r="P10" s="14">
        <v>0</v>
      </c>
      <c r="Q10" s="14">
        <v>0</v>
      </c>
      <c r="R10" s="14">
        <v>0</v>
      </c>
      <c r="S10" s="14">
        <v>11.1</v>
      </c>
      <c r="T10" s="14">
        <f>2573/31</f>
        <v>83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63" customFormat="1" ht="15.75" customHeight="1" x14ac:dyDescent="0.3">
      <c r="A11" s="9">
        <v>1924</v>
      </c>
      <c r="B11" s="9">
        <v>12</v>
      </c>
      <c r="C11" s="10">
        <f t="shared" si="2"/>
        <v>54.822132616487444</v>
      </c>
      <c r="D11" s="10">
        <f t="shared" si="0"/>
        <v>657.86559139784936</v>
      </c>
      <c r="E11" s="14">
        <v>269.97000000000003</v>
      </c>
      <c r="F11" s="14">
        <f t="shared" si="1"/>
        <v>4.9244709593586311</v>
      </c>
      <c r="G11" s="38">
        <f t="shared" si="3"/>
        <v>0.20306749867202814</v>
      </c>
      <c r="I11" s="14">
        <f>2573/31</f>
        <v>83</v>
      </c>
      <c r="J11" s="14">
        <v>83</v>
      </c>
      <c r="K11" s="14">
        <v>85.5</v>
      </c>
      <c r="L11" s="14">
        <f>3090/30</f>
        <v>103</v>
      </c>
      <c r="M11" s="14">
        <f>3193/31</f>
        <v>103</v>
      </c>
      <c r="N11" s="14">
        <f>1290/30</f>
        <v>43</v>
      </c>
      <c r="O11" s="14">
        <v>20.548387096774192</v>
      </c>
      <c r="P11" s="14">
        <f>434/31</f>
        <v>14</v>
      </c>
      <c r="Q11" s="14">
        <f>420/30</f>
        <v>14</v>
      </c>
      <c r="R11" s="14">
        <f>1505/31</f>
        <v>48.548387096774192</v>
      </c>
      <c r="S11" s="14">
        <f>700/30</f>
        <v>23.333333333333332</v>
      </c>
      <c r="T11" s="14">
        <f>1145/31</f>
        <v>36.935483870967744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s="63" customFormat="1" ht="15.75" customHeight="1" x14ac:dyDescent="0.3">
      <c r="A12" s="9">
        <v>1925</v>
      </c>
      <c r="B12" s="9">
        <v>12</v>
      </c>
      <c r="C12" s="10">
        <f t="shared" si="2"/>
        <v>34.091935483870969</v>
      </c>
      <c r="D12" s="10">
        <f t="shared" si="0"/>
        <v>409.10322580645163</v>
      </c>
      <c r="E12" s="14">
        <v>269.97000000000003</v>
      </c>
      <c r="F12" s="14">
        <f t="shared" si="1"/>
        <v>7.9188815820598952</v>
      </c>
      <c r="G12" s="38">
        <f t="shared" si="3"/>
        <v>0.12628045888013842</v>
      </c>
      <c r="I12" s="14">
        <f>2105/31</f>
        <v>67.903225806451616</v>
      </c>
      <c r="J12" s="14">
        <f>1988/28</f>
        <v>71</v>
      </c>
      <c r="K12" s="14">
        <v>66.099999999999994</v>
      </c>
      <c r="L12" s="14">
        <f>480/30</f>
        <v>16</v>
      </c>
      <c r="M12" s="14">
        <v>21.1</v>
      </c>
      <c r="N12" s="14">
        <f>690/30</f>
        <v>23</v>
      </c>
      <c r="O12" s="14">
        <f>744/31</f>
        <v>24</v>
      </c>
      <c r="P12" s="14">
        <f>744/31</f>
        <v>24</v>
      </c>
      <c r="Q12" s="14">
        <f>720/30</f>
        <v>24</v>
      </c>
      <c r="R12" s="14">
        <f>744/31</f>
        <v>24</v>
      </c>
      <c r="S12" s="14">
        <f>720/30</f>
        <v>24</v>
      </c>
      <c r="T12" s="14">
        <f>744/31</f>
        <v>24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s="63" customFormat="1" ht="15.75" customHeight="1" x14ac:dyDescent="0.3">
      <c r="A13" s="9">
        <v>1926</v>
      </c>
      <c r="B13" s="9">
        <v>12</v>
      </c>
      <c r="C13" s="10">
        <f t="shared" si="2"/>
        <v>29.4755376344086</v>
      </c>
      <c r="D13" s="10">
        <f t="shared" si="0"/>
        <v>353.70645161290321</v>
      </c>
      <c r="E13" s="14">
        <v>269.97000000000003</v>
      </c>
      <c r="F13" s="14">
        <f t="shared" si="1"/>
        <v>9.1591204662149241</v>
      </c>
      <c r="G13" s="38">
        <f t="shared" si="3"/>
        <v>0.10918078910400636</v>
      </c>
      <c r="I13" s="14">
        <f>1017/31</f>
        <v>32.806451612903224</v>
      </c>
      <c r="J13" s="14">
        <f>2212/28</f>
        <v>79</v>
      </c>
      <c r="K13" s="14">
        <f>2449/31</f>
        <v>79</v>
      </c>
      <c r="L13" s="14">
        <f>2370/30</f>
        <v>79</v>
      </c>
      <c r="M13" s="14">
        <v>54.9</v>
      </c>
      <c r="N13" s="14">
        <f>870/30</f>
        <v>29</v>
      </c>
      <c r="O13" s="14">
        <f>0</f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s="63" customFormat="1" ht="15.75" customHeight="1" x14ac:dyDescent="0.3">
      <c r="A14" s="9">
        <v>1927</v>
      </c>
      <c r="B14" s="9">
        <v>12</v>
      </c>
      <c r="C14" s="10">
        <f t="shared" si="2"/>
        <v>38.247311827956985</v>
      </c>
      <c r="D14" s="10">
        <f t="shared" si="0"/>
        <v>458.96774193548384</v>
      </c>
      <c r="E14" s="14">
        <v>269.97000000000003</v>
      </c>
      <c r="F14" s="14">
        <f t="shared" si="1"/>
        <v>7.0585352825414693</v>
      </c>
      <c r="G14" s="38">
        <f t="shared" si="3"/>
        <v>0.14167245185745447</v>
      </c>
      <c r="I14" s="14">
        <v>0</v>
      </c>
      <c r="J14" s="14">
        <v>0</v>
      </c>
      <c r="K14" s="14">
        <f>1768/31</f>
        <v>57.032258064516128</v>
      </c>
      <c r="L14" s="14">
        <f>2040/30</f>
        <v>68</v>
      </c>
      <c r="M14" s="14">
        <f>2356/31</f>
        <v>76</v>
      </c>
      <c r="N14" s="14">
        <f>2280/30</f>
        <v>76</v>
      </c>
      <c r="O14" s="14">
        <f>2356/31</f>
        <v>76</v>
      </c>
      <c r="P14" s="14">
        <f>1300/31</f>
        <v>41.935483870967744</v>
      </c>
      <c r="Q14" s="14">
        <f>480/30</f>
        <v>16</v>
      </c>
      <c r="R14" s="14">
        <f>496/31</f>
        <v>16</v>
      </c>
      <c r="S14" s="14">
        <f>480/30</f>
        <v>16</v>
      </c>
      <c r="T14" s="14">
        <f>496/31</f>
        <v>16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s="63" customFormat="1" ht="15.75" customHeight="1" x14ac:dyDescent="0.3">
      <c r="A15" s="9">
        <v>1928</v>
      </c>
      <c r="B15" s="9">
        <v>12</v>
      </c>
      <c r="C15" s="10">
        <f t="shared" si="2"/>
        <v>60.683870967741932</v>
      </c>
      <c r="D15" s="10">
        <f t="shared" si="0"/>
        <v>728.20645161290315</v>
      </c>
      <c r="E15" s="14">
        <v>269.97000000000003</v>
      </c>
      <c r="F15" s="14">
        <f t="shared" si="1"/>
        <v>4.4487933234105901</v>
      </c>
      <c r="G15" s="38">
        <f t="shared" si="3"/>
        <v>0.22478005321977229</v>
      </c>
      <c r="I15" s="14">
        <v>46.1</v>
      </c>
      <c r="J15" s="14">
        <v>53</v>
      </c>
      <c r="K15" s="14">
        <f>1643/31</f>
        <v>53</v>
      </c>
      <c r="L15" s="14">
        <f>1626/30</f>
        <v>54.2</v>
      </c>
      <c r="M15" s="14">
        <f>1948/31</f>
        <v>62.838709677419352</v>
      </c>
      <c r="N15" s="14">
        <f>2280/30</f>
        <v>76</v>
      </c>
      <c r="O15" s="14">
        <f>2509/31</f>
        <v>80.935483870967744</v>
      </c>
      <c r="P15" s="14">
        <v>39.4</v>
      </c>
      <c r="Q15" s="14">
        <f>540/30</f>
        <v>18</v>
      </c>
      <c r="R15" s="14">
        <f>648/31</f>
        <v>20.903225806451612</v>
      </c>
      <c r="S15" s="14">
        <v>125.7</v>
      </c>
      <c r="T15" s="14">
        <f>3042/31</f>
        <v>98.129032258064512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s="63" customFormat="1" ht="15.75" customHeight="1" x14ac:dyDescent="0.3">
      <c r="A16" s="9">
        <v>1929</v>
      </c>
      <c r="B16" s="9">
        <v>12</v>
      </c>
      <c r="C16" s="10">
        <f t="shared" si="2"/>
        <v>21.059677419354838</v>
      </c>
      <c r="D16" s="10">
        <f t="shared" si="0"/>
        <v>252.71612903225804</v>
      </c>
      <c r="E16" s="14">
        <v>269.97000000000003</v>
      </c>
      <c r="F16" s="14">
        <f t="shared" si="1"/>
        <v>12.819284674887035</v>
      </c>
      <c r="G16" s="38">
        <f t="shared" si="3"/>
        <v>7.8007472753842413E-2</v>
      </c>
      <c r="I16" s="14">
        <f>214/31</f>
        <v>6.903225806451613</v>
      </c>
      <c r="J16" s="14">
        <f>0</f>
        <v>0</v>
      </c>
      <c r="K16" s="14">
        <v>0</v>
      </c>
      <c r="L16" s="14">
        <v>3.1</v>
      </c>
      <c r="M16" s="14">
        <v>22</v>
      </c>
      <c r="N16" s="14">
        <f>750/30</f>
        <v>25</v>
      </c>
      <c r="O16" s="14">
        <v>30.1</v>
      </c>
      <c r="P16" s="14">
        <f>1023/31</f>
        <v>33</v>
      </c>
      <c r="Q16" s="14">
        <f>990/30</f>
        <v>33</v>
      </c>
      <c r="R16" s="14">
        <f>1042/31</f>
        <v>33.612903225806448</v>
      </c>
      <c r="S16" s="14">
        <f>990/30</f>
        <v>33</v>
      </c>
      <c r="T16" s="14">
        <f>1023/31</f>
        <v>33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s="63" customFormat="1" ht="15.75" customHeight="1" x14ac:dyDescent="0.3">
      <c r="A17" s="9">
        <v>1930</v>
      </c>
      <c r="B17" s="9">
        <v>12</v>
      </c>
      <c r="C17" s="10">
        <f t="shared" si="2"/>
        <v>35.336111111111109</v>
      </c>
      <c r="D17" s="10">
        <f t="shared" si="0"/>
        <v>424.0333333333333</v>
      </c>
      <c r="E17" s="14">
        <v>269.97000000000003</v>
      </c>
      <c r="F17" s="14">
        <f t="shared" si="1"/>
        <v>7.6400597437308404</v>
      </c>
      <c r="G17" s="38">
        <f t="shared" si="3"/>
        <v>0.13088902882213249</v>
      </c>
      <c r="I17" s="14">
        <f>1023/31</f>
        <v>33</v>
      </c>
      <c r="J17" s="14">
        <f>924/28</f>
        <v>33</v>
      </c>
      <c r="K17" s="14">
        <f>1116/31</f>
        <v>36</v>
      </c>
      <c r="L17" s="14">
        <f>1080/30</f>
        <v>36</v>
      </c>
      <c r="M17" s="14">
        <f>1116/31</f>
        <v>36</v>
      </c>
      <c r="N17" s="14">
        <f>1080/30</f>
        <v>36</v>
      </c>
      <c r="O17" s="14">
        <f>1116/31</f>
        <v>36</v>
      </c>
      <c r="P17" s="14">
        <f>1116/31</f>
        <v>36</v>
      </c>
      <c r="Q17" s="14">
        <f>1080/30</f>
        <v>36</v>
      </c>
      <c r="R17" s="14">
        <f>1116/31</f>
        <v>36</v>
      </c>
      <c r="S17" s="14">
        <f>1051/30</f>
        <v>35.033333333333331</v>
      </c>
      <c r="T17" s="14">
        <f>1085/31</f>
        <v>35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s="63" customFormat="1" ht="15.75" customHeight="1" x14ac:dyDescent="0.3">
      <c r="A18" s="9">
        <v>1931</v>
      </c>
      <c r="B18" s="9">
        <v>12</v>
      </c>
      <c r="C18" s="10">
        <f t="shared" si="2"/>
        <v>35.591397849462368</v>
      </c>
      <c r="D18" s="10">
        <f t="shared" si="0"/>
        <v>427.09677419354841</v>
      </c>
      <c r="E18" s="14">
        <v>269.97000000000003</v>
      </c>
      <c r="F18" s="14">
        <f t="shared" si="1"/>
        <v>7.5852598187311182</v>
      </c>
      <c r="G18" s="38">
        <f t="shared" si="3"/>
        <v>0.1318346403284156</v>
      </c>
      <c r="I18" s="14">
        <f>1085/31</f>
        <v>35</v>
      </c>
      <c r="J18" s="14">
        <f>980/28</f>
        <v>35</v>
      </c>
      <c r="K18" s="14">
        <f>1102/31</f>
        <v>35.548387096774192</v>
      </c>
      <c r="L18" s="14">
        <f>1080/30</f>
        <v>36</v>
      </c>
      <c r="M18" s="14">
        <f>1085/31</f>
        <v>35</v>
      </c>
      <c r="N18" s="14">
        <f>1050/30</f>
        <v>35</v>
      </c>
      <c r="O18" s="14">
        <f>1102/31</f>
        <v>35.548387096774192</v>
      </c>
      <c r="P18" s="14">
        <f>1116/31</f>
        <v>36</v>
      </c>
      <c r="Q18" s="14">
        <f>1080/30</f>
        <v>36</v>
      </c>
      <c r="R18" s="14">
        <f>1116/31</f>
        <v>36</v>
      </c>
      <c r="S18" s="14">
        <f>1080/30</f>
        <v>36</v>
      </c>
      <c r="T18" s="14">
        <f>1116/31</f>
        <v>36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s="63" customFormat="1" ht="15.75" customHeight="1" x14ac:dyDescent="0.3">
      <c r="A19" s="9">
        <v>1932</v>
      </c>
      <c r="B19" s="9">
        <v>12</v>
      </c>
      <c r="C19" s="10">
        <f t="shared" si="2"/>
        <v>35.43333333333333</v>
      </c>
      <c r="D19" s="10">
        <f t="shared" si="0"/>
        <v>425.2</v>
      </c>
      <c r="E19" s="14">
        <v>269.97000000000003</v>
      </c>
      <c r="F19" s="14">
        <f t="shared" si="1"/>
        <v>7.6190968955785525</v>
      </c>
      <c r="G19" s="38">
        <f t="shared" si="3"/>
        <v>0.13124915114025013</v>
      </c>
      <c r="I19" s="14">
        <f>1116/31</f>
        <v>36</v>
      </c>
      <c r="J19" s="14">
        <v>36</v>
      </c>
      <c r="K19" s="14">
        <f>1116/31</f>
        <v>36</v>
      </c>
      <c r="L19" s="14">
        <f>1080/30</f>
        <v>36</v>
      </c>
      <c r="M19" s="14">
        <f>1116/31</f>
        <v>36</v>
      </c>
      <c r="N19" s="14">
        <f>1080/30</f>
        <v>36</v>
      </c>
      <c r="O19" s="14">
        <f>1116/31</f>
        <v>36</v>
      </c>
      <c r="P19" s="14">
        <f>1116/31</f>
        <v>36</v>
      </c>
      <c r="Q19" s="14">
        <f>1080/30</f>
        <v>36</v>
      </c>
      <c r="R19" s="14">
        <v>35.200000000000003</v>
      </c>
      <c r="S19" s="14">
        <f>990/30</f>
        <v>33</v>
      </c>
      <c r="T19" s="14">
        <f>1023/31</f>
        <v>33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s="63" customFormat="1" ht="15.75" customHeight="1" x14ac:dyDescent="0.3">
      <c r="A20" s="9">
        <v>1933</v>
      </c>
      <c r="B20" s="9">
        <v>12</v>
      </c>
      <c r="C20" s="10">
        <f t="shared" si="2"/>
        <v>33.050806451612907</v>
      </c>
      <c r="D20" s="10">
        <f t="shared" si="0"/>
        <v>396.60967741935485</v>
      </c>
      <c r="E20" s="14">
        <v>269.97000000000003</v>
      </c>
      <c r="F20" s="14">
        <f t="shared" si="1"/>
        <v>8.168333211331527</v>
      </c>
      <c r="G20" s="38">
        <f t="shared" si="3"/>
        <v>0.1224239969315587</v>
      </c>
      <c r="I20" s="14">
        <f>1023/31</f>
        <v>33</v>
      </c>
      <c r="J20" s="14">
        <f>924/28</f>
        <v>33</v>
      </c>
      <c r="K20" s="14">
        <f>1023/31</f>
        <v>33</v>
      </c>
      <c r="L20" s="14">
        <f>1065/30</f>
        <v>35.5</v>
      </c>
      <c r="M20" s="14">
        <f>1116/31</f>
        <v>36</v>
      </c>
      <c r="N20" s="14">
        <f>1080/30</f>
        <v>36</v>
      </c>
      <c r="O20" s="14">
        <v>31.4</v>
      </c>
      <c r="P20" s="14">
        <f>952/31</f>
        <v>30.70967741935484</v>
      </c>
      <c r="Q20" s="14">
        <f>960/30</f>
        <v>32</v>
      </c>
      <c r="R20" s="14">
        <f>992/31</f>
        <v>32</v>
      </c>
      <c r="S20" s="14">
        <f>960/30</f>
        <v>32</v>
      </c>
      <c r="T20" s="14">
        <f>992/31</f>
        <v>32</v>
      </c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s="63" customFormat="1" ht="15.75" customHeight="1" x14ac:dyDescent="0.3">
      <c r="A21" s="9">
        <v>1934</v>
      </c>
      <c r="B21" s="9">
        <v>12</v>
      </c>
      <c r="C21" s="10">
        <f t="shared" si="2"/>
        <v>35.336994367639527</v>
      </c>
      <c r="D21" s="10">
        <f t="shared" si="0"/>
        <v>424.04393241167435</v>
      </c>
      <c r="E21" s="14">
        <v>269.97000000000003</v>
      </c>
      <c r="F21" s="14">
        <f t="shared" si="1"/>
        <v>7.6398687786313202</v>
      </c>
      <c r="G21" s="38">
        <f t="shared" si="3"/>
        <v>0.13089230050612854</v>
      </c>
      <c r="I21" s="14">
        <v>33.200000000000003</v>
      </c>
      <c r="J21" s="14">
        <f>1264/28</f>
        <v>45.142857142857146</v>
      </c>
      <c r="K21" s="14">
        <f>1209/31</f>
        <v>39</v>
      </c>
      <c r="L21" s="14">
        <f>1174/30</f>
        <v>39.133333333333333</v>
      </c>
      <c r="M21" s="14">
        <v>23.2</v>
      </c>
      <c r="N21" s="14">
        <f>960/30</f>
        <v>32</v>
      </c>
      <c r="O21" s="14">
        <f>997/31</f>
        <v>32.161290322580648</v>
      </c>
      <c r="P21" s="14">
        <v>36.4</v>
      </c>
      <c r="Q21" s="14">
        <f>1110/30</f>
        <v>37</v>
      </c>
      <c r="R21" s="14">
        <f>1141/31</f>
        <v>36.806451612903224</v>
      </c>
      <c r="S21" s="14">
        <f>1050/30</f>
        <v>35</v>
      </c>
      <c r="T21" s="14">
        <f>1085/31</f>
        <v>35</v>
      </c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s="63" customFormat="1" ht="15.75" customHeight="1" x14ac:dyDescent="0.3">
      <c r="A22" s="9">
        <v>1935</v>
      </c>
      <c r="B22" s="9">
        <v>12</v>
      </c>
      <c r="C22" s="10">
        <f t="shared" si="2"/>
        <v>23.708870967741934</v>
      </c>
      <c r="D22" s="10">
        <f t="shared" si="0"/>
        <v>284.50645161290322</v>
      </c>
      <c r="E22" s="14">
        <v>269.97000000000003</v>
      </c>
      <c r="F22" s="14">
        <f t="shared" si="1"/>
        <v>11.386877104663427</v>
      </c>
      <c r="G22" s="38">
        <f t="shared" si="3"/>
        <v>8.7820391035085127E-2</v>
      </c>
      <c r="I22" s="14">
        <f>1575/31</f>
        <v>50.806451612903224</v>
      </c>
      <c r="J22" s="14">
        <v>23.7</v>
      </c>
      <c r="K22" s="14">
        <f>0</f>
        <v>0</v>
      </c>
      <c r="L22" s="14">
        <v>0</v>
      </c>
      <c r="M22" s="14">
        <v>0</v>
      </c>
      <c r="N22" s="14">
        <v>0</v>
      </c>
      <c r="O22" s="14">
        <f>1085/31</f>
        <v>35</v>
      </c>
      <c r="P22" s="14">
        <f>1085/31</f>
        <v>35</v>
      </c>
      <c r="Q22" s="14">
        <f>1050/30</f>
        <v>35</v>
      </c>
      <c r="R22" s="14">
        <f>1085/31</f>
        <v>35</v>
      </c>
      <c r="S22" s="14">
        <f>1050/30</f>
        <v>35</v>
      </c>
      <c r="T22" s="14">
        <f>1085/31</f>
        <v>35</v>
      </c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s="63" customFormat="1" ht="15.75" customHeight="1" x14ac:dyDescent="0.3">
      <c r="A23" s="9">
        <v>1936</v>
      </c>
      <c r="B23" s="9">
        <v>12</v>
      </c>
      <c r="C23" s="10">
        <f t="shared" si="2"/>
        <v>35</v>
      </c>
      <c r="D23" s="10">
        <f t="shared" si="0"/>
        <v>420</v>
      </c>
      <c r="E23" s="14">
        <v>269.97000000000003</v>
      </c>
      <c r="F23" s="14">
        <f t="shared" si="1"/>
        <v>7.7134285714285724</v>
      </c>
      <c r="G23" s="38">
        <f t="shared" si="3"/>
        <v>0.12964403452235432</v>
      </c>
      <c r="I23" s="14">
        <f>1085/31</f>
        <v>35</v>
      </c>
      <c r="J23" s="14">
        <v>35</v>
      </c>
      <c r="K23" s="14">
        <f>1085/31</f>
        <v>35</v>
      </c>
      <c r="L23" s="14">
        <f>1050/30</f>
        <v>35</v>
      </c>
      <c r="M23" s="14">
        <f>1085/31</f>
        <v>35</v>
      </c>
      <c r="N23" s="14">
        <f>1050/30</f>
        <v>35</v>
      </c>
      <c r="O23" s="14">
        <v>35</v>
      </c>
      <c r="P23" s="14">
        <f>1085/31</f>
        <v>35</v>
      </c>
      <c r="Q23" s="14">
        <f>1050/30</f>
        <v>35</v>
      </c>
      <c r="R23" s="14">
        <f>1085/31</f>
        <v>35</v>
      </c>
      <c r="S23" s="14">
        <f>1050/30</f>
        <v>35</v>
      </c>
      <c r="T23" s="14">
        <f>1085/31</f>
        <v>35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s="63" customFormat="1" ht="15.75" customHeight="1" x14ac:dyDescent="0.3">
      <c r="A24" s="9">
        <v>1937</v>
      </c>
      <c r="B24" s="9">
        <v>12</v>
      </c>
      <c r="C24" s="10">
        <f t="shared" si="2"/>
        <v>32.666666666666664</v>
      </c>
      <c r="D24" s="10">
        <f t="shared" si="0"/>
        <v>392</v>
      </c>
      <c r="E24" s="14">
        <v>269.97000000000003</v>
      </c>
      <c r="F24" s="14">
        <f t="shared" si="1"/>
        <v>8.2643877551020424</v>
      </c>
      <c r="G24" s="38">
        <f t="shared" si="3"/>
        <v>0.12100109888753069</v>
      </c>
      <c r="I24" s="14">
        <f>1085/31</f>
        <v>35</v>
      </c>
      <c r="J24" s="14">
        <f>980/28</f>
        <v>35</v>
      </c>
      <c r="K24" s="14">
        <f>1054/31</f>
        <v>34</v>
      </c>
      <c r="L24" s="14">
        <f>1020/30</f>
        <v>34</v>
      </c>
      <c r="M24" s="14">
        <f>1054/31</f>
        <v>34</v>
      </c>
      <c r="N24" s="14">
        <f>1020/30</f>
        <v>34</v>
      </c>
      <c r="O24" s="14">
        <f>1054/31</f>
        <v>34</v>
      </c>
      <c r="P24" s="14">
        <f>1054/31</f>
        <v>34</v>
      </c>
      <c r="Q24" s="14">
        <f>1020/30</f>
        <v>34</v>
      </c>
      <c r="R24" s="14">
        <f>1054/31</f>
        <v>34</v>
      </c>
      <c r="S24" s="14">
        <f>960/30</f>
        <v>32</v>
      </c>
      <c r="T24" s="14">
        <f>558/31</f>
        <v>18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s="63" customFormat="1" ht="15.75" customHeight="1" x14ac:dyDescent="0.3">
      <c r="A25" s="9">
        <v>1938</v>
      </c>
      <c r="B25" s="9">
        <v>12</v>
      </c>
      <c r="C25" s="10">
        <f t="shared" si="2"/>
        <v>27.18763440860215</v>
      </c>
      <c r="D25" s="10">
        <f t="shared" si="0"/>
        <v>326.2516129032258</v>
      </c>
      <c r="E25" s="14">
        <v>269.97000000000003</v>
      </c>
      <c r="F25" s="14">
        <f t="shared" si="1"/>
        <v>9.9298819434831636</v>
      </c>
      <c r="G25" s="38">
        <f t="shared" si="3"/>
        <v>0.10070613182428473</v>
      </c>
      <c r="I25" s="14">
        <f>558/31</f>
        <v>18</v>
      </c>
      <c r="J25" s="14">
        <f>504/28</f>
        <v>18</v>
      </c>
      <c r="K25" s="14">
        <f>738/31</f>
        <v>23.806451612903224</v>
      </c>
      <c r="L25" s="14">
        <f>1020/30</f>
        <v>34</v>
      </c>
      <c r="M25" s="14">
        <f>1054/31</f>
        <v>34</v>
      </c>
      <c r="N25" s="14">
        <f>1020/30</f>
        <v>34</v>
      </c>
      <c r="O25" s="14">
        <v>29.4</v>
      </c>
      <c r="P25" s="14">
        <f>744/31</f>
        <v>24</v>
      </c>
      <c r="Q25" s="14">
        <f>720/30</f>
        <v>24</v>
      </c>
      <c r="R25" s="14">
        <f>733/31</f>
        <v>23.64516129032258</v>
      </c>
      <c r="S25" s="14">
        <v>31</v>
      </c>
      <c r="T25" s="14">
        <v>32.4</v>
      </c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s="63" customFormat="1" ht="15.75" customHeight="1" x14ac:dyDescent="0.3">
      <c r="A26" s="9">
        <v>1939</v>
      </c>
      <c r="B26" s="9">
        <v>12</v>
      </c>
      <c r="C26" s="10">
        <f t="shared" si="2"/>
        <v>25.033333333333331</v>
      </c>
      <c r="D26" s="10">
        <f t="shared" si="0"/>
        <v>300.39999999999998</v>
      </c>
      <c r="E26" s="14">
        <v>269.97000000000003</v>
      </c>
      <c r="F26" s="14">
        <f t="shared" si="1"/>
        <v>10.784420772303598</v>
      </c>
      <c r="G26" s="38">
        <f t="shared" si="3"/>
        <v>9.2726352310750562E-2</v>
      </c>
      <c r="I26" s="14">
        <f>837/31</f>
        <v>27</v>
      </c>
      <c r="J26" s="14">
        <f>756/28</f>
        <v>27</v>
      </c>
      <c r="K26" s="14">
        <v>30.2</v>
      </c>
      <c r="L26" s="14">
        <f>990/30</f>
        <v>33</v>
      </c>
      <c r="M26" s="14">
        <f>1023/31</f>
        <v>33</v>
      </c>
      <c r="N26" s="14">
        <f>990/30</f>
        <v>33</v>
      </c>
      <c r="O26" s="14">
        <f>1023/31</f>
        <v>33</v>
      </c>
      <c r="P26" s="14">
        <f>1023/31</f>
        <v>33</v>
      </c>
      <c r="Q26" s="14">
        <f>246/30</f>
        <v>8.1999999999999993</v>
      </c>
      <c r="R26" s="14">
        <f>62/31</f>
        <v>2</v>
      </c>
      <c r="S26" s="14">
        <v>19</v>
      </c>
      <c r="T26" s="14">
        <f>682/31</f>
        <v>22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s="63" customFormat="1" ht="15.75" customHeight="1" x14ac:dyDescent="0.3">
      <c r="A27" s="9">
        <v>1940</v>
      </c>
      <c r="B27" s="9">
        <v>12</v>
      </c>
      <c r="C27" s="10">
        <f t="shared" si="2"/>
        <v>6.8500000000000005</v>
      </c>
      <c r="D27" s="10">
        <f t="shared" si="0"/>
        <v>82.2</v>
      </c>
      <c r="E27" s="14">
        <v>269.97000000000003</v>
      </c>
      <c r="F27" s="14">
        <f t="shared" si="1"/>
        <v>39.411678832116792</v>
      </c>
      <c r="G27" s="38">
        <f t="shared" si="3"/>
        <v>2.5373189613660776E-2</v>
      </c>
      <c r="I27" s="14">
        <v>23.3</v>
      </c>
      <c r="J27" s="14">
        <v>21.9</v>
      </c>
      <c r="K27" s="14">
        <v>10.4</v>
      </c>
      <c r="L27" s="14">
        <f>0</f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f>228/30</f>
        <v>7.6</v>
      </c>
      <c r="T27" s="14">
        <f>589/31</f>
        <v>19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s="63" customFormat="1" ht="15.75" customHeight="1" x14ac:dyDescent="0.3">
      <c r="A28" s="9">
        <v>1941</v>
      </c>
      <c r="B28" s="9">
        <v>12</v>
      </c>
      <c r="C28" s="10">
        <f t="shared" si="2"/>
        <v>6.8553763440860216</v>
      </c>
      <c r="D28" s="10">
        <f t="shared" si="0"/>
        <v>82.264516129032259</v>
      </c>
      <c r="E28" s="14">
        <v>269.97000000000003</v>
      </c>
      <c r="F28" s="14">
        <f t="shared" si="1"/>
        <v>39.38077013567564</v>
      </c>
      <c r="G28" s="38">
        <f t="shared" si="3"/>
        <v>2.5393104211897697E-2</v>
      </c>
      <c r="I28" s="14">
        <f>589/31</f>
        <v>19</v>
      </c>
      <c r="J28" s="14">
        <f>532/28</f>
        <v>19</v>
      </c>
      <c r="K28" s="14">
        <f>419/31</f>
        <v>13.516129032258064</v>
      </c>
      <c r="L28" s="14">
        <f>0</f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4.2</v>
      </c>
      <c r="S28" s="14">
        <v>11</v>
      </c>
      <c r="T28" s="14">
        <f>482/31</f>
        <v>15.548387096774194</v>
      </c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s="63" customFormat="1" ht="15.75" customHeight="1" x14ac:dyDescent="0.3">
      <c r="A29" s="9">
        <v>1942</v>
      </c>
      <c r="B29" s="9">
        <v>12</v>
      </c>
      <c r="C29" s="10">
        <f t="shared" si="2"/>
        <v>11.598745519713262</v>
      </c>
      <c r="D29" s="10">
        <f t="shared" si="0"/>
        <v>139.18494623655914</v>
      </c>
      <c r="E29" s="14">
        <v>269.97000000000003</v>
      </c>
      <c r="F29" s="14">
        <f t="shared" si="1"/>
        <v>23.275793019267319</v>
      </c>
      <c r="G29" s="38">
        <f t="shared" si="3"/>
        <v>4.2963090416391674E-2</v>
      </c>
      <c r="I29" s="14">
        <f>744/31</f>
        <v>24</v>
      </c>
      <c r="J29" s="14">
        <f>672/28</f>
        <v>24</v>
      </c>
      <c r="K29" s="14">
        <f>286/31</f>
        <v>9.2258064516129039</v>
      </c>
      <c r="L29" s="14">
        <f>0</f>
        <v>0</v>
      </c>
      <c r="M29" s="14">
        <v>0</v>
      </c>
      <c r="N29" s="14">
        <v>0</v>
      </c>
      <c r="O29" s="14">
        <v>0</v>
      </c>
      <c r="P29" s="14">
        <f>196/31</f>
        <v>6.32258064516129</v>
      </c>
      <c r="Q29" s="14">
        <f>210/30</f>
        <v>7</v>
      </c>
      <c r="R29" s="14">
        <f>245/31</f>
        <v>7.903225806451613</v>
      </c>
      <c r="S29" s="14">
        <f>892/30</f>
        <v>29.733333333333334</v>
      </c>
      <c r="T29" s="14">
        <f>961/31</f>
        <v>31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3" customFormat="1" ht="15.75" customHeight="1" x14ac:dyDescent="0.3">
      <c r="A30" s="9">
        <v>1943</v>
      </c>
      <c r="B30" s="9">
        <v>12</v>
      </c>
      <c r="C30" s="10">
        <f t="shared" si="2"/>
        <v>12.662301587301586</v>
      </c>
      <c r="D30" s="10">
        <f t="shared" si="0"/>
        <v>151.94761904761904</v>
      </c>
      <c r="E30" s="14">
        <v>269.97000000000003</v>
      </c>
      <c r="F30" s="14">
        <f t="shared" si="1"/>
        <v>21.32076843523771</v>
      </c>
      <c r="G30" s="38">
        <f t="shared" si="3"/>
        <v>4.6902624689045394E-2</v>
      </c>
      <c r="I30" s="14">
        <f>961/31</f>
        <v>31</v>
      </c>
      <c r="J30" s="14">
        <f>846/28</f>
        <v>30.214285714285715</v>
      </c>
      <c r="K30" s="14">
        <v>8.1</v>
      </c>
      <c r="L30" s="14">
        <f>0</f>
        <v>0</v>
      </c>
      <c r="M30" s="14">
        <v>0</v>
      </c>
      <c r="N30" s="14">
        <v>0</v>
      </c>
      <c r="O30" s="14">
        <v>0</v>
      </c>
      <c r="P30" s="14">
        <v>0</v>
      </c>
      <c r="Q30" s="14">
        <v>3.2</v>
      </c>
      <c r="R30" s="14">
        <v>9</v>
      </c>
      <c r="S30" s="14">
        <f>790/30</f>
        <v>26.333333333333332</v>
      </c>
      <c r="T30" s="14">
        <v>44.1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3" customFormat="1" ht="15.75" customHeight="1" x14ac:dyDescent="0.3">
      <c r="A31" s="9">
        <v>1944</v>
      </c>
      <c r="B31" s="9">
        <v>12</v>
      </c>
      <c r="C31" s="10">
        <f t="shared" si="2"/>
        <v>19.152777777777779</v>
      </c>
      <c r="D31" s="10">
        <f t="shared" si="0"/>
        <v>229.83333333333334</v>
      </c>
      <c r="E31" s="14">
        <v>269.97000000000003</v>
      </c>
      <c r="F31" s="14">
        <f t="shared" si="1"/>
        <v>14.095605511240031</v>
      </c>
      <c r="G31" s="38">
        <f t="shared" si="3"/>
        <v>7.0944096669177226E-2</v>
      </c>
      <c r="I31" s="14">
        <f>1426/31</f>
        <v>46</v>
      </c>
      <c r="J31" s="14">
        <v>45.2</v>
      </c>
      <c r="K31" s="14">
        <v>16</v>
      </c>
      <c r="L31" s="14">
        <v>4.5</v>
      </c>
      <c r="M31" s="14">
        <v>1.1000000000000001</v>
      </c>
      <c r="N31" s="14">
        <f>0</f>
        <v>0</v>
      </c>
      <c r="O31" s="14">
        <f>0</f>
        <v>0</v>
      </c>
      <c r="P31" s="14">
        <v>0</v>
      </c>
      <c r="Q31" s="14">
        <f>574/30</f>
        <v>19.133333333333333</v>
      </c>
      <c r="R31" s="14">
        <v>43.1</v>
      </c>
      <c r="S31" s="14">
        <f>1005/30</f>
        <v>33.5</v>
      </c>
      <c r="T31" s="14">
        <v>21.3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3" customFormat="1" ht="15.75" customHeight="1" x14ac:dyDescent="0.3">
      <c r="A32" s="9">
        <v>1945</v>
      </c>
      <c r="B32" s="9">
        <v>12</v>
      </c>
      <c r="C32" s="10">
        <f t="shared" si="2"/>
        <v>22.500537634408602</v>
      </c>
      <c r="D32" s="10">
        <f t="shared" si="0"/>
        <v>270.00645161290322</v>
      </c>
      <c r="E32" s="14">
        <v>269.97000000000003</v>
      </c>
      <c r="F32" s="14">
        <f t="shared" si="1"/>
        <v>11.99837996702588</v>
      </c>
      <c r="G32" s="38">
        <f t="shared" si="3"/>
        <v>8.3344585081337186E-2</v>
      </c>
      <c r="I32" s="14">
        <f>651/31</f>
        <v>21</v>
      </c>
      <c r="J32" s="14">
        <f>588/28</f>
        <v>21</v>
      </c>
      <c r="K32" s="14">
        <v>21.8</v>
      </c>
      <c r="L32" s="14">
        <f>705/30</f>
        <v>23.5</v>
      </c>
      <c r="M32" s="14">
        <f>775/31</f>
        <v>25</v>
      </c>
      <c r="N32" s="14">
        <f>750/30</f>
        <v>25</v>
      </c>
      <c r="O32" s="14">
        <f>775/31</f>
        <v>25</v>
      </c>
      <c r="P32" s="14">
        <f>775/31</f>
        <v>25</v>
      </c>
      <c r="Q32" s="14">
        <f>750/30</f>
        <v>25</v>
      </c>
      <c r="R32" s="14">
        <f>769/31</f>
        <v>24.806451612903224</v>
      </c>
      <c r="S32" s="14">
        <f>357/30</f>
        <v>11.9</v>
      </c>
      <c r="T32" s="14">
        <f>651/31</f>
        <v>21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s="63" customFormat="1" ht="15.75" customHeight="1" x14ac:dyDescent="0.3">
      <c r="A33" s="9">
        <v>1946</v>
      </c>
      <c r="B33" s="9">
        <v>12</v>
      </c>
      <c r="C33" s="10">
        <f t="shared" si="2"/>
        <v>18.8406490015361</v>
      </c>
      <c r="D33" s="10">
        <f t="shared" si="0"/>
        <v>226.0877880184332</v>
      </c>
      <c r="E33" s="14">
        <v>269.97000000000003</v>
      </c>
      <c r="F33" s="14">
        <f t="shared" si="1"/>
        <v>14.329124223798717</v>
      </c>
      <c r="G33" s="38">
        <f t="shared" si="3"/>
        <v>6.9787935702248768E-2</v>
      </c>
      <c r="I33" s="14">
        <f>651/31</f>
        <v>21</v>
      </c>
      <c r="J33" s="14">
        <f>591/28</f>
        <v>21.107142857142858</v>
      </c>
      <c r="K33" s="14">
        <f>682/31</f>
        <v>22</v>
      </c>
      <c r="L33" s="14">
        <f>660/30</f>
        <v>22</v>
      </c>
      <c r="M33" s="14">
        <f>682/31</f>
        <v>22</v>
      </c>
      <c r="N33" s="14">
        <f>660/30</f>
        <v>22</v>
      </c>
      <c r="O33" s="14">
        <f>658/31</f>
        <v>21.225806451612904</v>
      </c>
      <c r="P33" s="14">
        <f>608/31</f>
        <v>19.612903225806452</v>
      </c>
      <c r="Q33" s="14">
        <v>16.899999999999999</v>
      </c>
      <c r="R33" s="14">
        <f>240/31</f>
        <v>7.741935483870968</v>
      </c>
      <c r="S33" s="14">
        <v>10.5</v>
      </c>
      <c r="T33" s="14">
        <f>620/31</f>
        <v>20</v>
      </c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3" customFormat="1" ht="15.75" customHeight="1" x14ac:dyDescent="0.3">
      <c r="A34" s="9">
        <v>1947</v>
      </c>
      <c r="B34" s="9">
        <v>12</v>
      </c>
      <c r="C34" s="10">
        <f t="shared" si="2"/>
        <v>19.390668202764974</v>
      </c>
      <c r="D34" s="10">
        <f t="shared" si="0"/>
        <v>232.68801843317971</v>
      </c>
      <c r="E34" s="14">
        <v>269.97000000000003</v>
      </c>
      <c r="F34" s="14">
        <f t="shared" si="1"/>
        <v>13.922676473908423</v>
      </c>
      <c r="G34" s="38">
        <f t="shared" si="3"/>
        <v>7.1825270225450877E-2</v>
      </c>
      <c r="I34" s="14">
        <f>620/31</f>
        <v>20</v>
      </c>
      <c r="J34" s="14">
        <f>508/28</f>
        <v>18.142857142857142</v>
      </c>
      <c r="K34" s="14">
        <f>640/31</f>
        <v>20.64516129032258</v>
      </c>
      <c r="L34" s="14">
        <f>612/30</f>
        <v>20.399999999999999</v>
      </c>
      <c r="M34" s="14">
        <v>19.899999999999999</v>
      </c>
      <c r="N34" s="14">
        <v>21</v>
      </c>
      <c r="O34" s="14">
        <f>651/31</f>
        <v>21</v>
      </c>
      <c r="P34" s="14">
        <f>651/31</f>
        <v>21</v>
      </c>
      <c r="Q34" s="14">
        <f>630/30</f>
        <v>21</v>
      </c>
      <c r="R34" s="14">
        <f>651/31</f>
        <v>21</v>
      </c>
      <c r="S34" s="14">
        <f>408/30</f>
        <v>13.6</v>
      </c>
      <c r="T34" s="14">
        <f>465/31</f>
        <v>15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3" customFormat="1" ht="15.75" customHeight="1" x14ac:dyDescent="0.3">
      <c r="A35" s="9">
        <v>1948</v>
      </c>
      <c r="B35" s="9">
        <v>12</v>
      </c>
      <c r="C35" s="10">
        <f t="shared" si="2"/>
        <v>17.711559139784949</v>
      </c>
      <c r="D35" s="10">
        <f t="shared" ref="D35:D63" si="4">SUM(I35:T35)</f>
        <v>212.53870967741938</v>
      </c>
      <c r="E35" s="14">
        <v>269.97000000000003</v>
      </c>
      <c r="F35" s="14">
        <f t="shared" si="1"/>
        <v>15.242588067448812</v>
      </c>
      <c r="G35" s="38">
        <f t="shared" si="3"/>
        <v>6.5605656701800005E-2</v>
      </c>
      <c r="I35" s="14">
        <f>465/31</f>
        <v>15</v>
      </c>
      <c r="J35" s="14">
        <v>15</v>
      </c>
      <c r="K35" s="14">
        <f>491/31</f>
        <v>15.838709677419354</v>
      </c>
      <c r="L35" s="14">
        <f>507/30</f>
        <v>16.899999999999999</v>
      </c>
      <c r="M35" s="14">
        <f>589/31</f>
        <v>19</v>
      </c>
      <c r="N35" s="14">
        <f>570/30</f>
        <v>19</v>
      </c>
      <c r="O35" s="14">
        <f>589/31</f>
        <v>19</v>
      </c>
      <c r="P35" s="14">
        <f>589/31</f>
        <v>19</v>
      </c>
      <c r="Q35" s="14">
        <f>570/30</f>
        <v>19</v>
      </c>
      <c r="R35" s="14">
        <f>589/31</f>
        <v>19</v>
      </c>
      <c r="S35" s="14">
        <f>534/30</f>
        <v>17.8</v>
      </c>
      <c r="T35" s="14">
        <f>558/31</f>
        <v>18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3" customFormat="1" ht="15.75" customHeight="1" x14ac:dyDescent="0.3">
      <c r="A36" s="9">
        <v>1949</v>
      </c>
      <c r="B36" s="9">
        <v>12</v>
      </c>
      <c r="C36" s="10">
        <f t="shared" si="2"/>
        <v>16.95</v>
      </c>
      <c r="D36" s="10">
        <f t="shared" si="4"/>
        <v>203.4</v>
      </c>
      <c r="E36" s="14">
        <v>269.97000000000003</v>
      </c>
      <c r="F36" s="14">
        <f t="shared" si="1"/>
        <v>15.927433628318587</v>
      </c>
      <c r="G36" s="38">
        <f t="shared" si="3"/>
        <v>6.2784753861540157E-2</v>
      </c>
      <c r="I36" s="14">
        <f>558/31</f>
        <v>18</v>
      </c>
      <c r="J36" s="14">
        <f>504/28</f>
        <v>18</v>
      </c>
      <c r="K36" s="14">
        <v>16.3</v>
      </c>
      <c r="L36" s="14">
        <f>480/30</f>
        <v>16</v>
      </c>
      <c r="M36" s="14">
        <f>496/31</f>
        <v>16</v>
      </c>
      <c r="N36" s="14">
        <f>525/30</f>
        <v>17.5</v>
      </c>
      <c r="O36" s="14">
        <f>589/31</f>
        <v>19</v>
      </c>
      <c r="P36" s="14">
        <f>589/31</f>
        <v>19</v>
      </c>
      <c r="Q36" s="14">
        <f>570/30</f>
        <v>19</v>
      </c>
      <c r="R36" s="14">
        <v>18.7</v>
      </c>
      <c r="S36" s="14">
        <v>14.9</v>
      </c>
      <c r="T36" s="14">
        <f>341/31</f>
        <v>11</v>
      </c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3" customFormat="1" ht="15.75" customHeight="1" x14ac:dyDescent="0.3">
      <c r="A37" s="9">
        <v>1950</v>
      </c>
      <c r="B37" s="9">
        <v>12</v>
      </c>
      <c r="C37" s="10">
        <f t="shared" si="2"/>
        <v>11.569982078853046</v>
      </c>
      <c r="D37" s="10">
        <f t="shared" si="4"/>
        <v>138.83978494623656</v>
      </c>
      <c r="E37" s="14">
        <v>269.97000000000003</v>
      </c>
      <c r="F37" s="14">
        <f t="shared" si="1"/>
        <v>23.333657577001421</v>
      </c>
      <c r="G37" s="38">
        <f t="shared" si="3"/>
        <v>4.2856547315824146E-2</v>
      </c>
      <c r="I37" s="14">
        <f>341/31</f>
        <v>11</v>
      </c>
      <c r="J37" s="14">
        <f>308/28</f>
        <v>11</v>
      </c>
      <c r="K37" s="14">
        <v>11.7</v>
      </c>
      <c r="L37" s="14">
        <f>360/30</f>
        <v>12</v>
      </c>
      <c r="M37" s="14">
        <f>372/31</f>
        <v>12</v>
      </c>
      <c r="N37" s="14">
        <f>336/30</f>
        <v>11.2</v>
      </c>
      <c r="O37" s="14">
        <f>341/31</f>
        <v>11</v>
      </c>
      <c r="P37" s="14">
        <f>341/31</f>
        <v>11</v>
      </c>
      <c r="Q37" s="14">
        <f>330/30</f>
        <v>11</v>
      </c>
      <c r="R37" s="14">
        <f>335/31</f>
        <v>10.806451612903226</v>
      </c>
      <c r="S37" s="14">
        <f>334/30</f>
        <v>11.133333333333333</v>
      </c>
      <c r="T37" s="14">
        <f>465/31</f>
        <v>15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3" customFormat="1" ht="15.75" customHeight="1" x14ac:dyDescent="0.3">
      <c r="A38" s="9">
        <v>1951</v>
      </c>
      <c r="B38" s="9">
        <v>12</v>
      </c>
      <c r="C38" s="10">
        <f t="shared" si="2"/>
        <v>15.245519713261649</v>
      </c>
      <c r="D38" s="10">
        <f t="shared" si="4"/>
        <v>182.94623655913978</v>
      </c>
      <c r="E38" s="14">
        <v>269.97000000000003</v>
      </c>
      <c r="F38" s="14">
        <f t="shared" si="1"/>
        <v>17.708153285529566</v>
      </c>
      <c r="G38" s="38">
        <f t="shared" si="3"/>
        <v>5.6471162400495045E-2</v>
      </c>
      <c r="I38" s="14">
        <f>465/31</f>
        <v>15</v>
      </c>
      <c r="J38" s="14">
        <f>420/28</f>
        <v>15</v>
      </c>
      <c r="K38" s="14">
        <f>490/31</f>
        <v>15.806451612903226</v>
      </c>
      <c r="L38" s="14">
        <f>480/30</f>
        <v>16</v>
      </c>
      <c r="M38" s="14">
        <f>496/31</f>
        <v>16</v>
      </c>
      <c r="N38" s="14">
        <f>480/30</f>
        <v>16</v>
      </c>
      <c r="O38" s="14">
        <f>490/31</f>
        <v>15.806451612903226</v>
      </c>
      <c r="P38" s="14">
        <f>465/31</f>
        <v>15</v>
      </c>
      <c r="Q38" s="14">
        <v>14.7</v>
      </c>
      <c r="R38" s="14">
        <f>403/31</f>
        <v>13</v>
      </c>
      <c r="S38" s="14">
        <f>259/30</f>
        <v>8.6333333333333329</v>
      </c>
      <c r="T38" s="14">
        <f>682/31</f>
        <v>22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63" customFormat="1" ht="15.75" customHeight="1" x14ac:dyDescent="0.3">
      <c r="A39" s="9">
        <v>1952</v>
      </c>
      <c r="B39" s="9">
        <v>12</v>
      </c>
      <c r="C39" s="10">
        <f t="shared" si="2"/>
        <v>22.93225806451613</v>
      </c>
      <c r="D39" s="10">
        <f t="shared" si="4"/>
        <v>275.18709677419355</v>
      </c>
      <c r="E39" s="14">
        <v>269.97000000000003</v>
      </c>
      <c r="F39" s="14">
        <f t="shared" si="1"/>
        <v>11.772499648333099</v>
      </c>
      <c r="G39" s="38">
        <f t="shared" si="3"/>
        <v>8.4943727319761922E-2</v>
      </c>
      <c r="I39" s="14">
        <f>682/31</f>
        <v>22</v>
      </c>
      <c r="J39" s="14">
        <v>23</v>
      </c>
      <c r="K39" s="14">
        <v>22.9</v>
      </c>
      <c r="L39" s="14">
        <f>684/30</f>
        <v>22.8</v>
      </c>
      <c r="M39" s="14">
        <f>736/31</f>
        <v>23.741935483870968</v>
      </c>
      <c r="N39" s="14">
        <f>720/30</f>
        <v>24</v>
      </c>
      <c r="O39" s="14">
        <f>744/31</f>
        <v>24</v>
      </c>
      <c r="P39" s="14">
        <f>744/31</f>
        <v>24</v>
      </c>
      <c r="Q39" s="14">
        <v>23.7</v>
      </c>
      <c r="R39" s="14">
        <f>702/31</f>
        <v>22.64516129032258</v>
      </c>
      <c r="S39" s="14">
        <v>21.4</v>
      </c>
      <c r="T39" s="14">
        <f>651/31</f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s="63" customFormat="1" ht="15.75" customHeight="1" x14ac:dyDescent="0.3">
      <c r="A40" s="9">
        <v>1953</v>
      </c>
      <c r="B40" s="9">
        <v>12</v>
      </c>
      <c r="C40" s="10">
        <f t="shared" si="2"/>
        <v>21.119086021505378</v>
      </c>
      <c r="D40" s="10">
        <f t="shared" si="4"/>
        <v>253.42903225806452</v>
      </c>
      <c r="E40" s="14">
        <v>269.97000000000003</v>
      </c>
      <c r="F40" s="14">
        <f t="shared" si="1"/>
        <v>12.783223654901162</v>
      </c>
      <c r="G40" s="38">
        <f t="shared" si="3"/>
        <v>7.8227529064360396E-2</v>
      </c>
      <c r="I40" s="14">
        <f>744/31</f>
        <v>24</v>
      </c>
      <c r="J40" s="14">
        <v>23.9</v>
      </c>
      <c r="K40" s="14">
        <v>24</v>
      </c>
      <c r="L40" s="14">
        <f>750/30</f>
        <v>25</v>
      </c>
      <c r="M40" s="14">
        <f>775/31</f>
        <v>25</v>
      </c>
      <c r="N40" s="14">
        <f>666/30</f>
        <v>22.2</v>
      </c>
      <c r="O40" s="14">
        <f>651/31</f>
        <v>21</v>
      </c>
      <c r="P40" s="14">
        <f>744/31</f>
        <v>24</v>
      </c>
      <c r="Q40" s="14">
        <f>699/30</f>
        <v>23.3</v>
      </c>
      <c r="R40" s="14">
        <f>531/31</f>
        <v>17.129032258064516</v>
      </c>
      <c r="S40" s="14">
        <f>300/30</f>
        <v>10</v>
      </c>
      <c r="T40" s="14">
        <v>13.9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s="63" customFormat="1" ht="15.75" customHeight="1" x14ac:dyDescent="0.3">
      <c r="A41" s="9">
        <v>1954</v>
      </c>
      <c r="B41" s="9">
        <v>12</v>
      </c>
      <c r="C41" s="10">
        <f t="shared" si="2"/>
        <v>12.158000512032771</v>
      </c>
      <c r="D41" s="10">
        <f t="shared" si="4"/>
        <v>145.89600614439325</v>
      </c>
      <c r="E41" s="14">
        <v>269.97000000000003</v>
      </c>
      <c r="F41" s="14">
        <f t="shared" si="1"/>
        <v>22.20513148792935</v>
      </c>
      <c r="G41" s="38">
        <f t="shared" si="3"/>
        <v>4.5034635374422233E-2</v>
      </c>
      <c r="I41" s="14">
        <f>403/31</f>
        <v>13</v>
      </c>
      <c r="J41" s="14">
        <f>342/28</f>
        <v>12.214285714285714</v>
      </c>
      <c r="K41" s="14">
        <f>212/31</f>
        <v>6.838709677419355</v>
      </c>
      <c r="L41" s="14">
        <f>253/30</f>
        <v>8.4333333333333336</v>
      </c>
      <c r="M41" s="14">
        <f>341/31</f>
        <v>11</v>
      </c>
      <c r="N41" s="14">
        <f>420/30</f>
        <v>14</v>
      </c>
      <c r="O41" s="14">
        <f>434/31</f>
        <v>14</v>
      </c>
      <c r="P41" s="14">
        <f>434/31</f>
        <v>14</v>
      </c>
      <c r="Q41" s="14">
        <f>420/30</f>
        <v>14</v>
      </c>
      <c r="R41" s="14">
        <f>403/31</f>
        <v>13</v>
      </c>
      <c r="S41" s="14">
        <f>381/30</f>
        <v>12.7</v>
      </c>
      <c r="T41" s="14">
        <f>394/31</f>
        <v>12.709677419354838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s="63" customFormat="1" ht="15.75" customHeight="1" x14ac:dyDescent="0.3">
      <c r="A42" s="9">
        <v>1955</v>
      </c>
      <c r="B42" s="9">
        <v>12</v>
      </c>
      <c r="C42" s="10">
        <f t="shared" si="2"/>
        <v>21.937455197132618</v>
      </c>
      <c r="D42" s="10">
        <f t="shared" si="4"/>
        <v>263.2494623655914</v>
      </c>
      <c r="E42" s="14">
        <v>269.97000000000003</v>
      </c>
      <c r="F42" s="14">
        <f t="shared" si="1"/>
        <v>12.306349919533377</v>
      </c>
      <c r="G42" s="38">
        <f t="shared" si="3"/>
        <v>8.1258862825990347E-2</v>
      </c>
      <c r="I42" s="14">
        <f>651/31</f>
        <v>21</v>
      </c>
      <c r="J42" s="14">
        <f>588/28</f>
        <v>21</v>
      </c>
      <c r="K42" s="14">
        <f>667/31</f>
        <v>21.516129032258064</v>
      </c>
      <c r="L42" s="14">
        <f>660/30</f>
        <v>22</v>
      </c>
      <c r="M42" s="14">
        <f>682/31</f>
        <v>22</v>
      </c>
      <c r="N42" s="14">
        <f>660/30</f>
        <v>22</v>
      </c>
      <c r="O42" s="14">
        <f>682/31</f>
        <v>22</v>
      </c>
      <c r="P42" s="14">
        <f>682/31</f>
        <v>22</v>
      </c>
      <c r="Q42" s="14">
        <f>660/30</f>
        <v>22</v>
      </c>
      <c r="R42" s="14">
        <v>21.4</v>
      </c>
      <c r="S42" s="14">
        <f>760/30</f>
        <v>25.333333333333332</v>
      </c>
      <c r="T42" s="14">
        <f>651/31</f>
        <v>21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s="63" customFormat="1" ht="15.75" customHeight="1" x14ac:dyDescent="0.3">
      <c r="A43" s="9">
        <v>1956</v>
      </c>
      <c r="B43" s="9">
        <v>12</v>
      </c>
      <c r="C43" s="10">
        <f t="shared" si="2"/>
        <v>22.670967741935485</v>
      </c>
      <c r="D43" s="10">
        <f t="shared" si="4"/>
        <v>272.05161290322582</v>
      </c>
      <c r="E43" s="14">
        <v>269.97000000000003</v>
      </c>
      <c r="F43" s="14">
        <f t="shared" si="1"/>
        <v>11.908181559476381</v>
      </c>
      <c r="G43" s="38">
        <f t="shared" si="3"/>
        <v>8.3975877845447577E-2</v>
      </c>
      <c r="I43" s="14">
        <f>775/31</f>
        <v>25</v>
      </c>
      <c r="J43" s="14">
        <v>25</v>
      </c>
      <c r="K43" s="14">
        <f>798/31</f>
        <v>25.741935483870968</v>
      </c>
      <c r="L43" s="14">
        <f>780/30</f>
        <v>26</v>
      </c>
      <c r="M43" s="14">
        <v>24.4</v>
      </c>
      <c r="N43" s="14">
        <f>660/30</f>
        <v>22</v>
      </c>
      <c r="O43" s="14">
        <f>682/31</f>
        <v>22</v>
      </c>
      <c r="P43" s="14">
        <f>682/31</f>
        <v>22</v>
      </c>
      <c r="Q43" s="14">
        <v>21.5</v>
      </c>
      <c r="R43" s="14">
        <f>651/31</f>
        <v>21</v>
      </c>
      <c r="S43" s="14">
        <v>16.7</v>
      </c>
      <c r="T43" s="14">
        <f>642/31</f>
        <v>20.70967741935484</v>
      </c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s="63" customFormat="1" ht="15.75" customHeight="1" x14ac:dyDescent="0.3">
      <c r="A44" s="9">
        <v>1957</v>
      </c>
      <c r="B44" s="9">
        <v>12</v>
      </c>
      <c r="C44" s="10">
        <f t="shared" si="2"/>
        <v>17.128942652329751</v>
      </c>
      <c r="D44" s="10">
        <f t="shared" si="4"/>
        <v>205.547311827957</v>
      </c>
      <c r="E44" s="14">
        <v>269.97000000000003</v>
      </c>
      <c r="F44" s="14">
        <f t="shared" si="1"/>
        <v>15.761042901458994</v>
      </c>
      <c r="G44" s="38">
        <f t="shared" si="3"/>
        <v>6.3447578072859015E-2</v>
      </c>
      <c r="I44" s="14">
        <v>16.899999999999999</v>
      </c>
      <c r="J44" s="14">
        <f>448/28</f>
        <v>16</v>
      </c>
      <c r="K44" s="14">
        <v>18.2</v>
      </c>
      <c r="L44" s="14">
        <f>630/30</f>
        <v>21</v>
      </c>
      <c r="M44" s="14">
        <f>630/31</f>
        <v>20.322580645161292</v>
      </c>
      <c r="N44" s="14">
        <f>628/30</f>
        <v>20.933333333333334</v>
      </c>
      <c r="O44" s="14">
        <f>676/31</f>
        <v>21.806451612903224</v>
      </c>
      <c r="P44" s="14">
        <f>651/31</f>
        <v>21</v>
      </c>
      <c r="Q44" s="14">
        <v>13.9</v>
      </c>
      <c r="R44" s="14">
        <f>338/31</f>
        <v>10.903225806451612</v>
      </c>
      <c r="S44" s="14">
        <f>361/30</f>
        <v>12.033333333333333</v>
      </c>
      <c r="T44" s="14">
        <f>389/31</f>
        <v>12.548387096774194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s="63" customFormat="1" ht="15.75" customHeight="1" x14ac:dyDescent="0.3">
      <c r="A45" s="9">
        <v>1958</v>
      </c>
      <c r="B45" s="9">
        <v>12</v>
      </c>
      <c r="C45" s="10">
        <f t="shared" si="2"/>
        <v>20.822580645161292</v>
      </c>
      <c r="D45" s="10">
        <f t="shared" si="4"/>
        <v>249.87096774193549</v>
      </c>
      <c r="E45" s="14">
        <v>269.97000000000003</v>
      </c>
      <c r="F45" s="14">
        <f t="shared" si="1"/>
        <v>12.965251742835012</v>
      </c>
      <c r="G45" s="38">
        <f t="shared" si="3"/>
        <v>7.7129238971594211E-2</v>
      </c>
      <c r="I45" s="14">
        <f>620/31</f>
        <v>20</v>
      </c>
      <c r="J45" s="14">
        <f>560/28</f>
        <v>20</v>
      </c>
      <c r="K45" s="14">
        <f>655/31</f>
        <v>21.129032258064516</v>
      </c>
      <c r="L45" s="14">
        <f>450/30</f>
        <v>15</v>
      </c>
      <c r="M45" s="14">
        <v>13.4</v>
      </c>
      <c r="N45" s="14">
        <v>23.9</v>
      </c>
      <c r="O45" s="14">
        <f>806/31</f>
        <v>26</v>
      </c>
      <c r="P45" s="14">
        <v>24.1</v>
      </c>
      <c r="Q45" s="14">
        <v>13.1</v>
      </c>
      <c r="R45" s="14">
        <v>23.1</v>
      </c>
      <c r="S45" s="14">
        <f>732/30</f>
        <v>24.4</v>
      </c>
      <c r="T45" s="14">
        <f>798/31</f>
        <v>25.741935483870968</v>
      </c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s="63" customFormat="1" ht="15.75" customHeight="1" x14ac:dyDescent="0.3">
      <c r="A46" s="9">
        <v>1959</v>
      </c>
      <c r="B46" s="9">
        <v>12</v>
      </c>
      <c r="C46" s="10">
        <f t="shared" si="2"/>
        <v>24.896505376344084</v>
      </c>
      <c r="D46" s="10">
        <f t="shared" si="4"/>
        <v>298.75806451612902</v>
      </c>
      <c r="E46" s="14">
        <v>269.97000000000003</v>
      </c>
      <c r="F46" s="14">
        <f t="shared" si="1"/>
        <v>10.843690546887656</v>
      </c>
      <c r="G46" s="38">
        <f t="shared" si="3"/>
        <v>9.2219525785620926E-2</v>
      </c>
      <c r="I46" s="14">
        <f>806/31</f>
        <v>26</v>
      </c>
      <c r="J46" s="14">
        <f>728/28</f>
        <v>26</v>
      </c>
      <c r="K46" s="14">
        <f>357/31</f>
        <v>11.516129032258064</v>
      </c>
      <c r="L46" s="14">
        <f>390/30</f>
        <v>13</v>
      </c>
      <c r="M46" s="14">
        <v>15.9</v>
      </c>
      <c r="N46" s="14">
        <f>510/30</f>
        <v>17</v>
      </c>
      <c r="O46" s="14">
        <v>33.4</v>
      </c>
      <c r="P46" s="14">
        <f>1271/31</f>
        <v>41</v>
      </c>
      <c r="Q46" s="14">
        <v>37.5</v>
      </c>
      <c r="R46" s="14">
        <f>744/31</f>
        <v>24</v>
      </c>
      <c r="S46" s="14">
        <f>771/30</f>
        <v>25.7</v>
      </c>
      <c r="T46" s="14">
        <f>860/31</f>
        <v>27.741935483870968</v>
      </c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33" s="63" customFormat="1" ht="15.75" customHeight="1" x14ac:dyDescent="0.3">
      <c r="A47" s="9">
        <v>1960</v>
      </c>
      <c r="B47" s="9">
        <v>12</v>
      </c>
      <c r="C47" s="10">
        <f t="shared" si="2"/>
        <v>17.510035842293906</v>
      </c>
      <c r="D47" s="10">
        <f t="shared" si="4"/>
        <v>210.12043010752689</v>
      </c>
      <c r="E47" s="14">
        <v>269.97000000000003</v>
      </c>
      <c r="F47" s="14">
        <f t="shared" si="1"/>
        <v>15.4180152703007</v>
      </c>
      <c r="G47" s="38">
        <f t="shared" si="3"/>
        <v>6.4859191177886077E-2</v>
      </c>
      <c r="I47" s="14">
        <v>28.9</v>
      </c>
      <c r="J47" s="14">
        <v>28.7</v>
      </c>
      <c r="K47" s="14">
        <v>16.3</v>
      </c>
      <c r="L47" s="14">
        <f>270/30</f>
        <v>9</v>
      </c>
      <c r="M47" s="14">
        <f>279/31</f>
        <v>9</v>
      </c>
      <c r="N47" s="14">
        <f>270/30</f>
        <v>9</v>
      </c>
      <c r="O47" s="14">
        <f>279/31</f>
        <v>9</v>
      </c>
      <c r="P47" s="14">
        <f>299/31</f>
        <v>9.6451612903225801</v>
      </c>
      <c r="Q47" s="14">
        <f>324/30</f>
        <v>10.8</v>
      </c>
      <c r="R47" s="14">
        <f>953/31</f>
        <v>30.741935483870968</v>
      </c>
      <c r="S47" s="14">
        <f>748/30</f>
        <v>24.933333333333334</v>
      </c>
      <c r="T47" s="14">
        <v>24.1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s="63" customFormat="1" ht="15.75" customHeight="1" x14ac:dyDescent="0.3">
      <c r="A48" s="9">
        <v>1961</v>
      </c>
      <c r="B48" s="9">
        <v>12</v>
      </c>
      <c r="C48" s="10">
        <f t="shared" si="2"/>
        <v>16.521710189452126</v>
      </c>
      <c r="D48" s="10">
        <f t="shared" si="4"/>
        <v>198.26052227342549</v>
      </c>
      <c r="E48" s="14">
        <v>269.97000000000003</v>
      </c>
      <c r="F48" s="14">
        <f t="shared" si="1"/>
        <v>16.340318096873268</v>
      </c>
      <c r="G48" s="38">
        <f t="shared" si="3"/>
        <v>6.1198319033418984E-2</v>
      </c>
      <c r="I48" s="14">
        <f>850/31</f>
        <v>27.419354838709676</v>
      </c>
      <c r="J48" s="14">
        <f>790/28</f>
        <v>28.214285714285715</v>
      </c>
      <c r="K48" s="14">
        <v>11.6</v>
      </c>
      <c r="L48" s="14">
        <f>90/30</f>
        <v>3</v>
      </c>
      <c r="M48" s="14">
        <f>93/31</f>
        <v>3</v>
      </c>
      <c r="N48" s="14">
        <f>90/30</f>
        <v>3</v>
      </c>
      <c r="O48" s="14">
        <f>429/31</f>
        <v>13.838709677419354</v>
      </c>
      <c r="P48" s="14">
        <f>527/31</f>
        <v>17</v>
      </c>
      <c r="Q48" s="14">
        <f>508/30</f>
        <v>16.933333333333334</v>
      </c>
      <c r="R48" s="14">
        <f>755/31</f>
        <v>24.35483870967742</v>
      </c>
      <c r="S48" s="14">
        <f>774/30</f>
        <v>25.8</v>
      </c>
      <c r="T48" s="14">
        <v>24.1</v>
      </c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s="63" customFormat="1" ht="15.75" customHeight="1" x14ac:dyDescent="0.3">
      <c r="A49" s="9">
        <v>1962</v>
      </c>
      <c r="B49" s="9">
        <v>12</v>
      </c>
      <c r="C49" s="10">
        <f>D49/B49</f>
        <v>25.800806451612903</v>
      </c>
      <c r="D49" s="10">
        <f t="shared" si="4"/>
        <v>309.60967741935485</v>
      </c>
      <c r="E49" s="14">
        <v>269.97000000000003</v>
      </c>
      <c r="F49" s="14">
        <f t="shared" si="1"/>
        <v>10.463626418279</v>
      </c>
      <c r="G49" s="38">
        <f t="shared" si="3"/>
        <v>9.556916120907101E-2</v>
      </c>
      <c r="I49" s="14">
        <f>826/31</f>
        <v>26.64516129032258</v>
      </c>
      <c r="J49" s="14">
        <v>26.7</v>
      </c>
      <c r="K49" s="14">
        <f>345/31</f>
        <v>11.129032258064516</v>
      </c>
      <c r="L49" s="14">
        <f>54/30</f>
        <v>1.8</v>
      </c>
      <c r="M49" s="14">
        <f>56/31</f>
        <v>1.8064516129032258</v>
      </c>
      <c r="N49" s="14">
        <f>54/30</f>
        <v>1.8</v>
      </c>
      <c r="O49" s="14">
        <f>1684/31</f>
        <v>54.322580645161288</v>
      </c>
      <c r="P49" s="14">
        <f>1736/31</f>
        <v>56</v>
      </c>
      <c r="Q49" s="14">
        <v>54.2</v>
      </c>
      <c r="R49" s="14">
        <v>25.6</v>
      </c>
      <c r="S49" s="14">
        <f>744/30</f>
        <v>24.8</v>
      </c>
      <c r="T49" s="14">
        <f>769/31</f>
        <v>24.806451612903224</v>
      </c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s="63" customFormat="1" ht="15.75" customHeight="1" x14ac:dyDescent="0.3">
      <c r="A50" s="9">
        <v>1963</v>
      </c>
      <c r="B50" s="9">
        <v>12</v>
      </c>
      <c r="C50" s="10">
        <f t="shared" si="2"/>
        <v>21.28494623655914</v>
      </c>
      <c r="D50" s="10">
        <f t="shared" si="4"/>
        <v>255.41935483870969</v>
      </c>
      <c r="E50" s="14">
        <v>269.97000000000003</v>
      </c>
      <c r="F50" s="14">
        <f t="shared" si="1"/>
        <v>12.683612023238192</v>
      </c>
      <c r="G50" s="38">
        <f t="shared" si="3"/>
        <v>7.8841894419969402E-2</v>
      </c>
      <c r="I50" s="14">
        <f>868/31</f>
        <v>28</v>
      </c>
      <c r="J50" s="14">
        <f>784/28</f>
        <v>28</v>
      </c>
      <c r="K50" s="14">
        <f>310/31</f>
        <v>10</v>
      </c>
      <c r="L50" s="14">
        <v>0</v>
      </c>
      <c r="M50" s="14">
        <f>425/31</f>
        <v>13.709677419354838</v>
      </c>
      <c r="N50" s="14">
        <v>25.6</v>
      </c>
      <c r="O50" s="14">
        <f>806/31</f>
        <v>26</v>
      </c>
      <c r="P50" s="14">
        <f>806/31</f>
        <v>26</v>
      </c>
      <c r="Q50" s="14">
        <v>12.8</v>
      </c>
      <c r="R50" s="14">
        <v>28.2</v>
      </c>
      <c r="S50" s="14">
        <f>852/30</f>
        <v>28.4</v>
      </c>
      <c r="T50" s="14">
        <f>890/31</f>
        <v>28.70967741935484</v>
      </c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s="13" customFormat="1" ht="15.75" customHeight="1" x14ac:dyDescent="0.3">
      <c r="A51" s="9">
        <v>1964</v>
      </c>
      <c r="B51" s="9">
        <v>12</v>
      </c>
      <c r="C51" s="10">
        <f>D51/B51</f>
        <v>18.666666666666668</v>
      </c>
      <c r="D51" s="10">
        <f t="shared" si="4"/>
        <v>224</v>
      </c>
      <c r="E51" s="14">
        <v>269.97000000000003</v>
      </c>
      <c r="F51" s="14">
        <f t="shared" si="1"/>
        <v>14.462678571428572</v>
      </c>
      <c r="G51" s="38">
        <f t="shared" si="3"/>
        <v>6.9143485078588973E-2</v>
      </c>
      <c r="H51" s="63"/>
      <c r="I51" s="14">
        <f>744/31</f>
        <v>24</v>
      </c>
      <c r="J51" s="14">
        <v>24</v>
      </c>
      <c r="K51" s="14">
        <v>5.2</v>
      </c>
      <c r="L51" s="14">
        <v>0</v>
      </c>
      <c r="M51" s="14">
        <v>0</v>
      </c>
      <c r="N51" s="14">
        <v>0</v>
      </c>
      <c r="O51" s="14">
        <v>32</v>
      </c>
      <c r="P51" s="14">
        <v>32</v>
      </c>
      <c r="Q51" s="14">
        <v>35.799999999999997</v>
      </c>
      <c r="R51" s="14">
        <v>24.9</v>
      </c>
      <c r="S51" s="14">
        <v>24.6</v>
      </c>
      <c r="T51" s="14">
        <v>21.5</v>
      </c>
    </row>
    <row r="52" spans="1:33" s="13" customFormat="1" ht="15.75" customHeight="1" x14ac:dyDescent="0.25">
      <c r="A52" s="9">
        <v>1965</v>
      </c>
      <c r="B52" s="9">
        <v>12</v>
      </c>
      <c r="C52" s="10">
        <f t="shared" ref="C52:C97" si="5">D52/B52</f>
        <v>16.833333333333336</v>
      </c>
      <c r="D52" s="10">
        <f t="shared" si="4"/>
        <v>202.00000000000003</v>
      </c>
      <c r="E52" s="14">
        <v>269.97000000000003</v>
      </c>
      <c r="F52" s="14">
        <f t="shared" si="1"/>
        <v>16.037821782178217</v>
      </c>
      <c r="G52" s="38">
        <f t="shared" si="3"/>
        <v>6.2352607079798991E-2</v>
      </c>
      <c r="I52" s="14">
        <v>24</v>
      </c>
      <c r="J52" s="14">
        <v>24</v>
      </c>
      <c r="K52" s="14">
        <v>7</v>
      </c>
      <c r="L52" s="14">
        <v>0</v>
      </c>
      <c r="M52" s="14">
        <v>0</v>
      </c>
      <c r="N52" s="14">
        <v>0</v>
      </c>
      <c r="O52" s="14">
        <v>26</v>
      </c>
      <c r="P52" s="14">
        <v>25.6</v>
      </c>
      <c r="Q52" s="14">
        <v>24.5</v>
      </c>
      <c r="R52" s="14">
        <v>23.3</v>
      </c>
      <c r="S52" s="14">
        <v>23.8</v>
      </c>
      <c r="T52" s="14">
        <v>23.8</v>
      </c>
    </row>
    <row r="53" spans="1:33" s="13" customFormat="1" ht="15.75" customHeight="1" x14ac:dyDescent="0.25">
      <c r="A53" s="9">
        <v>1966</v>
      </c>
      <c r="B53" s="9">
        <v>12</v>
      </c>
      <c r="C53" s="10">
        <f t="shared" si="5"/>
        <v>19.258333333333333</v>
      </c>
      <c r="D53" s="10">
        <f t="shared" si="4"/>
        <v>231.1</v>
      </c>
      <c r="E53" s="14">
        <v>269.97000000000003</v>
      </c>
      <c r="F53" s="14">
        <f t="shared" si="1"/>
        <v>14.018347035915189</v>
      </c>
      <c r="G53" s="38">
        <f t="shared" si="3"/>
        <v>7.1335086614562102E-2</v>
      </c>
      <c r="I53" s="14">
        <v>27</v>
      </c>
      <c r="J53" s="14">
        <v>27</v>
      </c>
      <c r="K53" s="14">
        <v>10.8</v>
      </c>
      <c r="L53" s="14">
        <v>0</v>
      </c>
      <c r="M53" s="14">
        <v>0</v>
      </c>
      <c r="N53" s="14">
        <v>0</v>
      </c>
      <c r="O53" s="14">
        <v>34.6</v>
      </c>
      <c r="P53" s="14">
        <v>36</v>
      </c>
      <c r="Q53" s="14">
        <v>34.799999999999997</v>
      </c>
      <c r="R53" s="14">
        <v>20.399999999999999</v>
      </c>
      <c r="S53" s="14">
        <v>20.399999999999999</v>
      </c>
      <c r="T53" s="14">
        <v>20.100000000000001</v>
      </c>
    </row>
    <row r="54" spans="1:33" s="13" customFormat="1" ht="15.75" customHeight="1" x14ac:dyDescent="0.25">
      <c r="A54" s="9">
        <v>1967</v>
      </c>
      <c r="B54" s="9">
        <v>12</v>
      </c>
      <c r="C54" s="10">
        <f t="shared" si="5"/>
        <v>13.508333333333335</v>
      </c>
      <c r="D54" s="10">
        <f t="shared" si="4"/>
        <v>162.10000000000002</v>
      </c>
      <c r="E54" s="14">
        <v>269.97000000000003</v>
      </c>
      <c r="F54" s="14">
        <f t="shared" si="1"/>
        <v>19.985441085749539</v>
      </c>
      <c r="G54" s="38">
        <f t="shared" si="3"/>
        <v>5.0036423800175325E-2</v>
      </c>
      <c r="I54" s="14">
        <v>18.8</v>
      </c>
      <c r="J54" s="14">
        <v>18.8</v>
      </c>
      <c r="K54" s="14">
        <v>5.5</v>
      </c>
      <c r="L54" s="14">
        <v>0</v>
      </c>
      <c r="M54" s="14">
        <v>0</v>
      </c>
      <c r="N54" s="14">
        <v>0.7</v>
      </c>
      <c r="O54" s="14">
        <v>22</v>
      </c>
      <c r="P54" s="14">
        <v>22</v>
      </c>
      <c r="Q54" s="14">
        <v>19.100000000000001</v>
      </c>
      <c r="R54" s="14">
        <v>15</v>
      </c>
      <c r="S54" s="14">
        <v>19.899999999999999</v>
      </c>
      <c r="T54" s="14">
        <v>20.3</v>
      </c>
    </row>
    <row r="55" spans="1:33" s="13" customFormat="1" ht="15.75" customHeight="1" x14ac:dyDescent="0.25">
      <c r="A55" s="9">
        <v>1968</v>
      </c>
      <c r="B55" s="9">
        <v>12</v>
      </c>
      <c r="C55" s="10">
        <f t="shared" si="5"/>
        <v>21.266666666666666</v>
      </c>
      <c r="D55" s="10">
        <f t="shared" si="4"/>
        <v>255.2</v>
      </c>
      <c r="E55" s="14">
        <v>269.97000000000003</v>
      </c>
      <c r="F55" s="14">
        <f t="shared" si="1"/>
        <v>12.694514106583075</v>
      </c>
      <c r="G55" s="38">
        <f t="shared" si="3"/>
        <v>7.8774184785963861E-2</v>
      </c>
      <c r="I55" s="14">
        <v>20.9</v>
      </c>
      <c r="J55" s="14">
        <v>18.7</v>
      </c>
      <c r="K55" s="14">
        <v>6.2</v>
      </c>
      <c r="L55" s="14">
        <v>0</v>
      </c>
      <c r="M55" s="14">
        <v>0</v>
      </c>
      <c r="N55" s="14">
        <v>3.1</v>
      </c>
      <c r="O55" s="14">
        <v>46.5</v>
      </c>
      <c r="P55" s="14">
        <v>46</v>
      </c>
      <c r="Q55" s="14">
        <v>42.1</v>
      </c>
      <c r="R55" s="14">
        <v>27.2</v>
      </c>
      <c r="S55" s="14">
        <v>25.5</v>
      </c>
      <c r="T55" s="14">
        <v>19</v>
      </c>
    </row>
    <row r="56" spans="1:33" s="13" customFormat="1" ht="15.75" customHeight="1" x14ac:dyDescent="0.25">
      <c r="A56" s="9">
        <v>1969</v>
      </c>
      <c r="B56" s="9">
        <v>12</v>
      </c>
      <c r="C56" s="10">
        <f t="shared" si="5"/>
        <v>16.3</v>
      </c>
      <c r="D56" s="10">
        <f t="shared" si="4"/>
        <v>195.6</v>
      </c>
      <c r="E56" s="14">
        <v>269.97000000000003</v>
      </c>
      <c r="F56" s="14">
        <f t="shared" si="1"/>
        <v>16.562576687116565</v>
      </c>
      <c r="G56" s="38">
        <f t="shared" si="3"/>
        <v>6.0377078934696446E-2</v>
      </c>
      <c r="I56" s="14">
        <v>19</v>
      </c>
      <c r="J56" s="14">
        <v>19</v>
      </c>
      <c r="K56" s="14">
        <v>5.5</v>
      </c>
      <c r="L56" s="14">
        <v>0</v>
      </c>
      <c r="M56" s="14">
        <v>0</v>
      </c>
      <c r="N56" s="14">
        <v>19.5</v>
      </c>
      <c r="O56" s="14">
        <v>21.4</v>
      </c>
      <c r="P56" s="14">
        <v>23</v>
      </c>
      <c r="Q56" s="14">
        <v>23</v>
      </c>
      <c r="R56" s="14">
        <v>22</v>
      </c>
      <c r="S56" s="14">
        <v>22</v>
      </c>
      <c r="T56" s="14">
        <v>21.2</v>
      </c>
    </row>
    <row r="57" spans="1:33" s="13" customFormat="1" ht="15.75" customHeight="1" x14ac:dyDescent="0.25">
      <c r="A57" s="9">
        <v>1970</v>
      </c>
      <c r="B57" s="9">
        <v>12</v>
      </c>
      <c r="C57" s="10">
        <f t="shared" si="5"/>
        <v>16.916666666666668</v>
      </c>
      <c r="D57" s="10">
        <f t="shared" si="4"/>
        <v>203</v>
      </c>
      <c r="E57" s="14">
        <v>269.97000000000003</v>
      </c>
      <c r="F57" s="14">
        <f t="shared" si="1"/>
        <v>15.958817733990148</v>
      </c>
      <c r="G57" s="38">
        <f t="shared" si="3"/>
        <v>6.2661283352471259E-2</v>
      </c>
      <c r="I57" s="14">
        <v>20</v>
      </c>
      <c r="J57" s="14">
        <v>20</v>
      </c>
      <c r="K57" s="14">
        <v>21</v>
      </c>
      <c r="L57" s="14">
        <v>0</v>
      </c>
      <c r="M57" s="14">
        <v>0</v>
      </c>
      <c r="N57" s="14">
        <v>0</v>
      </c>
      <c r="O57" s="14">
        <v>29.2</v>
      </c>
      <c r="P57" s="14">
        <v>29.2</v>
      </c>
      <c r="Q57" s="14">
        <v>28</v>
      </c>
      <c r="R57" s="14">
        <v>17</v>
      </c>
      <c r="S57" s="14">
        <v>16</v>
      </c>
      <c r="T57" s="14">
        <v>22.6</v>
      </c>
    </row>
    <row r="58" spans="1:33" s="13" customFormat="1" ht="15.75" customHeight="1" x14ac:dyDescent="0.25">
      <c r="A58" s="9">
        <v>1971</v>
      </c>
      <c r="B58" s="9">
        <v>12</v>
      </c>
      <c r="C58" s="10">
        <f t="shared" si="5"/>
        <v>16.375</v>
      </c>
      <c r="D58" s="10">
        <f t="shared" si="4"/>
        <v>196.5</v>
      </c>
      <c r="E58" s="14">
        <v>269.97000000000003</v>
      </c>
      <c r="F58" s="14">
        <f t="shared" si="1"/>
        <v>16.486717557251911</v>
      </c>
      <c r="G58" s="38">
        <f t="shared" si="3"/>
        <v>6.0654887580101485E-2</v>
      </c>
      <c r="I58" s="14">
        <v>25</v>
      </c>
      <c r="J58" s="14">
        <v>25</v>
      </c>
      <c r="K58" s="14">
        <v>6.5</v>
      </c>
      <c r="L58" s="14">
        <v>0</v>
      </c>
      <c r="M58" s="14">
        <v>0</v>
      </c>
      <c r="N58" s="14">
        <v>0</v>
      </c>
      <c r="O58" s="14">
        <v>21</v>
      </c>
      <c r="P58" s="14">
        <v>21</v>
      </c>
      <c r="Q58" s="14">
        <v>21</v>
      </c>
      <c r="R58" s="14">
        <v>26</v>
      </c>
      <c r="S58" s="14">
        <v>26</v>
      </c>
      <c r="T58" s="14">
        <v>25</v>
      </c>
    </row>
    <row r="59" spans="1:33" s="13" customFormat="1" ht="15.75" customHeight="1" x14ac:dyDescent="0.25">
      <c r="A59" s="9">
        <v>1972</v>
      </c>
      <c r="B59" s="9">
        <v>12</v>
      </c>
      <c r="C59" s="10">
        <f t="shared" si="5"/>
        <v>15.183333333333332</v>
      </c>
      <c r="D59" s="10">
        <f t="shared" si="4"/>
        <v>182.2</v>
      </c>
      <c r="E59" s="14">
        <v>269.97000000000003</v>
      </c>
      <c r="F59" s="14">
        <f t="shared" si="1"/>
        <v>17.780680570801319</v>
      </c>
      <c r="G59" s="38">
        <f t="shared" si="3"/>
        <v>5.6240816880887987E-2</v>
      </c>
      <c r="I59" s="14">
        <v>24.4</v>
      </c>
      <c r="J59" s="14">
        <v>24</v>
      </c>
      <c r="K59" s="14">
        <v>9.3000000000000007</v>
      </c>
      <c r="L59" s="14">
        <v>0</v>
      </c>
      <c r="M59" s="14">
        <v>0</v>
      </c>
      <c r="N59" s="14">
        <v>0</v>
      </c>
      <c r="O59" s="14">
        <v>21.5</v>
      </c>
      <c r="P59" s="14">
        <v>23</v>
      </c>
      <c r="Q59" s="14">
        <v>23</v>
      </c>
      <c r="R59" s="14">
        <v>6.7</v>
      </c>
      <c r="S59" s="14">
        <v>25.6</v>
      </c>
      <c r="T59" s="14">
        <v>24.7</v>
      </c>
    </row>
    <row r="60" spans="1:33" s="13" customFormat="1" ht="15.75" customHeight="1" x14ac:dyDescent="0.25">
      <c r="A60" s="9">
        <v>1973</v>
      </c>
      <c r="B60" s="9">
        <v>12</v>
      </c>
      <c r="C60" s="10">
        <f t="shared" si="5"/>
        <v>25.166666666666668</v>
      </c>
      <c r="D60" s="10">
        <f t="shared" si="4"/>
        <v>302</v>
      </c>
      <c r="E60" s="14">
        <v>269.97000000000003</v>
      </c>
      <c r="F60" s="14">
        <f t="shared" si="1"/>
        <v>10.727284768211922</v>
      </c>
      <c r="G60" s="38">
        <f t="shared" si="3"/>
        <v>9.3220234347026212E-2</v>
      </c>
      <c r="I60" s="14">
        <v>23</v>
      </c>
      <c r="J60" s="14">
        <v>23</v>
      </c>
      <c r="K60" s="14">
        <v>22.7</v>
      </c>
      <c r="L60" s="14">
        <v>26</v>
      </c>
      <c r="M60" s="14">
        <v>26</v>
      </c>
      <c r="N60" s="14">
        <v>26</v>
      </c>
      <c r="O60" s="14">
        <v>26</v>
      </c>
      <c r="P60" s="14">
        <v>26</v>
      </c>
      <c r="Q60" s="14">
        <v>26</v>
      </c>
      <c r="R60" s="14">
        <v>26</v>
      </c>
      <c r="S60" s="14">
        <v>23.3</v>
      </c>
      <c r="T60" s="14">
        <v>28</v>
      </c>
    </row>
    <row r="61" spans="1:33" s="13" customFormat="1" ht="15.75" customHeight="1" x14ac:dyDescent="0.25">
      <c r="A61" s="9">
        <v>1974</v>
      </c>
      <c r="B61" s="9">
        <v>12</v>
      </c>
      <c r="C61" s="10">
        <f t="shared" si="5"/>
        <v>27.766666666666666</v>
      </c>
      <c r="D61" s="10">
        <f t="shared" si="4"/>
        <v>333.2</v>
      </c>
      <c r="E61" s="14">
        <v>269.97000000000003</v>
      </c>
      <c r="F61" s="14">
        <f t="shared" si="1"/>
        <v>9.7228091236494603</v>
      </c>
      <c r="G61" s="38">
        <f t="shared" si="3"/>
        <v>0.10285093405440109</v>
      </c>
      <c r="I61" s="14">
        <v>28</v>
      </c>
      <c r="J61" s="14">
        <v>28</v>
      </c>
      <c r="K61" s="14">
        <v>28.7</v>
      </c>
      <c r="L61" s="14">
        <v>29</v>
      </c>
      <c r="M61" s="14">
        <v>29</v>
      </c>
      <c r="N61" s="14">
        <v>29</v>
      </c>
      <c r="O61" s="14">
        <v>29</v>
      </c>
      <c r="P61" s="14">
        <v>29</v>
      </c>
      <c r="Q61" s="14">
        <v>29</v>
      </c>
      <c r="R61" s="14">
        <v>28.5</v>
      </c>
      <c r="S61" s="14">
        <v>23</v>
      </c>
      <c r="T61" s="14">
        <v>23</v>
      </c>
    </row>
    <row r="62" spans="1:33" s="13" customFormat="1" ht="15.75" customHeight="1" x14ac:dyDescent="0.25">
      <c r="A62" s="9">
        <v>1975</v>
      </c>
      <c r="B62" s="9">
        <v>12</v>
      </c>
      <c r="C62" s="10">
        <f t="shared" si="5"/>
        <v>23.675000000000001</v>
      </c>
      <c r="D62" s="10">
        <f t="shared" si="4"/>
        <v>284.10000000000002</v>
      </c>
      <c r="E62" s="14">
        <v>269.97000000000003</v>
      </c>
      <c r="F62" s="14">
        <f t="shared" si="1"/>
        <v>11.403167898627245</v>
      </c>
      <c r="G62" s="38">
        <f t="shared" si="3"/>
        <v>8.7694929066192528E-2</v>
      </c>
      <c r="I62" s="14">
        <v>23</v>
      </c>
      <c r="J62" s="14">
        <v>23</v>
      </c>
      <c r="K62" s="14">
        <v>23.8</v>
      </c>
      <c r="L62" s="14">
        <v>24</v>
      </c>
      <c r="M62" s="14">
        <v>24</v>
      </c>
      <c r="N62" s="14">
        <v>24</v>
      </c>
      <c r="O62" s="14">
        <v>24</v>
      </c>
      <c r="P62" s="14">
        <v>24</v>
      </c>
      <c r="Q62" s="14">
        <v>24</v>
      </c>
      <c r="R62" s="14">
        <v>24</v>
      </c>
      <c r="S62" s="14">
        <v>20.3</v>
      </c>
      <c r="T62" s="14">
        <v>26</v>
      </c>
    </row>
    <row r="63" spans="1:33" s="13" customFormat="1" ht="15.75" customHeight="1" x14ac:dyDescent="0.25">
      <c r="A63" s="9">
        <v>1976</v>
      </c>
      <c r="B63" s="9">
        <v>12</v>
      </c>
      <c r="C63" s="10">
        <f t="shared" si="5"/>
        <v>13.358333333333333</v>
      </c>
      <c r="D63" s="10">
        <f t="shared" si="4"/>
        <v>160.29999999999998</v>
      </c>
      <c r="E63" s="14">
        <v>269.97000000000003</v>
      </c>
      <c r="F63" s="14">
        <f t="shared" si="1"/>
        <v>20.209856519026829</v>
      </c>
      <c r="G63" s="38">
        <f t="shared" si="3"/>
        <v>4.9480806509365233E-2</v>
      </c>
      <c r="I63" s="14">
        <v>26</v>
      </c>
      <c r="J63" s="14">
        <v>26</v>
      </c>
      <c r="K63" s="14">
        <v>26.9</v>
      </c>
      <c r="L63" s="14">
        <v>27</v>
      </c>
      <c r="M63" s="14">
        <v>27.2</v>
      </c>
      <c r="N63" s="14">
        <v>27.2</v>
      </c>
      <c r="O63" s="14"/>
      <c r="P63" s="14"/>
      <c r="Q63" s="14"/>
      <c r="R63" s="14"/>
      <c r="S63" s="14"/>
      <c r="T63" s="14"/>
    </row>
    <row r="64" spans="1:33" s="13" customFormat="1" ht="15.75" customHeight="1" x14ac:dyDescent="0.25">
      <c r="A64" s="9">
        <v>1977</v>
      </c>
      <c r="B64" s="9"/>
      <c r="C64" s="10"/>
      <c r="D64" s="10"/>
      <c r="E64" s="14">
        <v>269.97000000000003</v>
      </c>
      <c r="F64" s="14"/>
      <c r="G64" s="38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s="13" customFormat="1" ht="15.75" customHeight="1" x14ac:dyDescent="0.25">
      <c r="A65" s="9">
        <v>1978</v>
      </c>
      <c r="B65" s="9"/>
      <c r="C65" s="10"/>
      <c r="D65" s="10"/>
      <c r="E65" s="14">
        <v>269.97000000000003</v>
      </c>
      <c r="F65" s="14"/>
      <c r="G65" s="38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s="13" customFormat="1" ht="15.75" customHeight="1" x14ac:dyDescent="0.25">
      <c r="A66" s="9">
        <v>1979</v>
      </c>
      <c r="B66" s="9"/>
      <c r="C66" s="10"/>
      <c r="D66" s="10"/>
      <c r="E66" s="14">
        <v>269.97000000000003</v>
      </c>
      <c r="F66" s="14"/>
      <c r="G66" s="38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s="13" customFormat="1" ht="15.75" customHeight="1" x14ac:dyDescent="0.25">
      <c r="A67" s="9">
        <v>1980</v>
      </c>
      <c r="B67" s="9"/>
      <c r="C67" s="10"/>
      <c r="D67" s="10"/>
      <c r="E67" s="14">
        <v>269.97000000000003</v>
      </c>
      <c r="F67" s="14"/>
      <c r="G67" s="38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s="13" customFormat="1" ht="15.75" customHeight="1" x14ac:dyDescent="0.25">
      <c r="A68" s="9">
        <v>1981</v>
      </c>
      <c r="B68" s="9"/>
      <c r="C68" s="10"/>
      <c r="D68" s="10"/>
      <c r="E68" s="14">
        <v>269.97000000000003</v>
      </c>
      <c r="F68" s="14"/>
      <c r="G68" s="38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s="13" customFormat="1" ht="15.75" customHeight="1" x14ac:dyDescent="0.25">
      <c r="A69" s="9">
        <v>1982</v>
      </c>
      <c r="B69" s="9">
        <v>12</v>
      </c>
      <c r="C69" s="10">
        <f t="shared" si="5"/>
        <v>6.25</v>
      </c>
      <c r="D69" s="10">
        <f t="shared" ref="D69:D97" si="6">SUM(I69:T69)</f>
        <v>75</v>
      </c>
      <c r="E69" s="14">
        <v>269.97000000000003</v>
      </c>
      <c r="F69" s="14">
        <f t="shared" ref="F69:F96" si="7">E69/C69</f>
        <v>43.195200000000007</v>
      </c>
      <c r="G69" s="38">
        <f t="shared" ref="G69:G96" si="8">C69/E69</f>
        <v>2.3150720450420416E-2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>
        <v>37.5</v>
      </c>
      <c r="T69" s="14">
        <v>37.5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5"/>
        <v>11.25</v>
      </c>
      <c r="D70" s="10">
        <f t="shared" si="6"/>
        <v>135</v>
      </c>
      <c r="E70" s="14">
        <v>269.97000000000003</v>
      </c>
      <c r="F70" s="14">
        <f t="shared" si="7"/>
        <v>23.997333333333337</v>
      </c>
      <c r="G70" s="38">
        <f t="shared" si="8"/>
        <v>4.167129681075675E-2</v>
      </c>
      <c r="I70" s="14">
        <v>37.5</v>
      </c>
      <c r="J70" s="14">
        <v>37.5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30</v>
      </c>
      <c r="T70" s="14">
        <v>30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5"/>
        <v>5</v>
      </c>
      <c r="D71" s="10">
        <f t="shared" si="6"/>
        <v>60</v>
      </c>
      <c r="E71" s="14">
        <v>269.97000000000003</v>
      </c>
      <c r="F71" s="14">
        <f t="shared" si="7"/>
        <v>53.994000000000007</v>
      </c>
      <c r="G71" s="38">
        <f t="shared" si="8"/>
        <v>1.8520576360336331E-2</v>
      </c>
      <c r="I71" s="14">
        <v>30</v>
      </c>
      <c r="J71" s="14">
        <v>30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5"/>
        <v>0</v>
      </c>
      <c r="D72" s="10">
        <f t="shared" si="6"/>
        <v>0</v>
      </c>
      <c r="E72" s="14">
        <v>269.97000000000003</v>
      </c>
      <c r="F72" s="14" t="e">
        <f t="shared" si="7"/>
        <v>#DIV/0!</v>
      </c>
      <c r="G72" s="38">
        <f t="shared" si="8"/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5"/>
        <v>9.1666666666666661</v>
      </c>
      <c r="D73" s="10">
        <f t="shared" si="6"/>
        <v>110</v>
      </c>
      <c r="E73" s="14">
        <v>269.97000000000003</v>
      </c>
      <c r="F73" s="14">
        <f t="shared" si="7"/>
        <v>29.45127272727273</v>
      </c>
      <c r="G73" s="38">
        <f t="shared" si="8"/>
        <v>3.3954389993949938E-2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55</v>
      </c>
      <c r="T73" s="14">
        <v>55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5"/>
        <v>9.1666666666666661</v>
      </c>
      <c r="D74" s="10">
        <f t="shared" si="6"/>
        <v>110</v>
      </c>
      <c r="E74" s="14">
        <v>269.97000000000003</v>
      </c>
      <c r="F74" s="14">
        <f t="shared" si="7"/>
        <v>29.45127272727273</v>
      </c>
      <c r="G74" s="38">
        <f t="shared" si="8"/>
        <v>3.3954389993949938E-2</v>
      </c>
      <c r="I74" s="14">
        <v>55</v>
      </c>
      <c r="J74" s="14">
        <v>55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/>
      <c r="T74" s="14"/>
    </row>
    <row r="75" spans="1:20" s="13" customFormat="1" ht="15.75" customHeight="1" x14ac:dyDescent="0.25">
      <c r="A75" s="9">
        <v>1988</v>
      </c>
      <c r="B75" s="9"/>
      <c r="C75" s="10"/>
      <c r="D75" s="10"/>
      <c r="E75" s="14">
        <v>269.97000000000003</v>
      </c>
      <c r="F75" s="14"/>
      <c r="G75" s="38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5"/>
        <v>8.3333333333333339</v>
      </c>
      <c r="D76" s="10">
        <f t="shared" si="6"/>
        <v>100</v>
      </c>
      <c r="E76" s="14">
        <v>269.97000000000003</v>
      </c>
      <c r="F76" s="14">
        <f t="shared" si="7"/>
        <v>32.3964</v>
      </c>
      <c r="G76" s="38">
        <f t="shared" si="8"/>
        <v>3.0867627267227221E-2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50</v>
      </c>
      <c r="T76" s="14">
        <v>50</v>
      </c>
    </row>
    <row r="77" spans="1:20" s="13" customFormat="1" ht="15.75" customHeight="1" x14ac:dyDescent="0.25">
      <c r="A77" s="9">
        <v>1990</v>
      </c>
      <c r="B77" s="9">
        <v>12</v>
      </c>
      <c r="C77" s="10">
        <f t="shared" si="5"/>
        <v>8.3333333333333339</v>
      </c>
      <c r="D77" s="10">
        <f t="shared" si="6"/>
        <v>100</v>
      </c>
      <c r="E77" s="14">
        <v>269.97000000000003</v>
      </c>
      <c r="F77" s="14">
        <f t="shared" si="7"/>
        <v>32.3964</v>
      </c>
      <c r="G77" s="38">
        <f t="shared" si="8"/>
        <v>3.0867627267227221E-2</v>
      </c>
      <c r="I77" s="14">
        <v>50</v>
      </c>
      <c r="J77" s="14">
        <v>50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</row>
    <row r="78" spans="1:20" s="13" customFormat="1" ht="15.75" customHeight="1" x14ac:dyDescent="0.25">
      <c r="A78" s="9">
        <v>1991</v>
      </c>
      <c r="B78" s="9">
        <v>12</v>
      </c>
      <c r="C78" s="10">
        <f t="shared" si="5"/>
        <v>36.333333333333336</v>
      </c>
      <c r="D78" s="10">
        <f t="shared" si="6"/>
        <v>436</v>
      </c>
      <c r="E78" s="14">
        <v>269.97000000000003</v>
      </c>
      <c r="F78" s="14">
        <f t="shared" si="7"/>
        <v>7.4303669724770645</v>
      </c>
      <c r="G78" s="38">
        <f t="shared" si="8"/>
        <v>0.13458285488511068</v>
      </c>
      <c r="I78" s="14">
        <v>0</v>
      </c>
      <c r="J78" s="14">
        <v>0</v>
      </c>
      <c r="K78" s="14">
        <v>54.5</v>
      </c>
      <c r="L78" s="14">
        <v>54.5</v>
      </c>
      <c r="M78" s="14">
        <v>54.5</v>
      </c>
      <c r="N78" s="14">
        <v>54.5</v>
      </c>
      <c r="O78" s="14">
        <v>54.5</v>
      </c>
      <c r="P78" s="14">
        <v>54.5</v>
      </c>
      <c r="Q78" s="14">
        <v>54.5</v>
      </c>
      <c r="R78" s="14">
        <v>54.5</v>
      </c>
      <c r="S78" s="14">
        <v>0</v>
      </c>
      <c r="T78" s="14">
        <v>0</v>
      </c>
    </row>
    <row r="79" spans="1:20" s="13" customFormat="1" ht="15.75" customHeight="1" x14ac:dyDescent="0.25">
      <c r="A79" s="9">
        <v>1992</v>
      </c>
      <c r="B79" s="9">
        <v>12</v>
      </c>
      <c r="C79" s="10">
        <f t="shared" si="5"/>
        <v>8.3333333333333339</v>
      </c>
      <c r="D79" s="10">
        <f t="shared" si="6"/>
        <v>100</v>
      </c>
      <c r="E79" s="14">
        <v>269.97000000000003</v>
      </c>
      <c r="F79" s="14">
        <f t="shared" si="7"/>
        <v>32.3964</v>
      </c>
      <c r="G79" s="38">
        <f t="shared" si="8"/>
        <v>3.0867627267227221E-2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50</v>
      </c>
      <c r="T79" s="14">
        <v>50</v>
      </c>
    </row>
    <row r="80" spans="1:20" s="13" customFormat="1" ht="15.75" customHeight="1" x14ac:dyDescent="0.25">
      <c r="A80" s="9">
        <v>1993</v>
      </c>
      <c r="B80" s="9">
        <v>12</v>
      </c>
      <c r="C80" s="10">
        <f t="shared" si="5"/>
        <v>8.3333333333333339</v>
      </c>
      <c r="D80" s="10">
        <f t="shared" si="6"/>
        <v>100</v>
      </c>
      <c r="E80" s="14">
        <v>269.97000000000003</v>
      </c>
      <c r="F80" s="14">
        <f t="shared" si="7"/>
        <v>32.3964</v>
      </c>
      <c r="G80" s="38">
        <f t="shared" si="8"/>
        <v>3.0867627267227221E-2</v>
      </c>
      <c r="I80" s="14">
        <v>50</v>
      </c>
      <c r="J80" s="14">
        <v>50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</row>
    <row r="81" spans="1:20" s="13" customFormat="1" ht="15.75" customHeight="1" x14ac:dyDescent="0.25">
      <c r="A81" s="9">
        <v>1994</v>
      </c>
      <c r="B81" s="9">
        <v>12</v>
      </c>
      <c r="C81" s="10">
        <f t="shared" si="5"/>
        <v>36.333333333333336</v>
      </c>
      <c r="D81" s="10">
        <f t="shared" si="6"/>
        <v>436</v>
      </c>
      <c r="E81" s="14">
        <v>269.97000000000003</v>
      </c>
      <c r="F81" s="14">
        <f t="shared" si="7"/>
        <v>7.4303669724770645</v>
      </c>
      <c r="G81" s="38">
        <f t="shared" si="8"/>
        <v>0.13458285488511068</v>
      </c>
      <c r="I81" s="14">
        <v>0</v>
      </c>
      <c r="J81" s="14">
        <v>0</v>
      </c>
      <c r="K81" s="14">
        <v>54.5</v>
      </c>
      <c r="L81" s="14">
        <v>54.5</v>
      </c>
      <c r="M81" s="14">
        <v>54.5</v>
      </c>
      <c r="N81" s="14">
        <v>54.5</v>
      </c>
      <c r="O81" s="14">
        <v>54.5</v>
      </c>
      <c r="P81" s="14">
        <v>54.5</v>
      </c>
      <c r="Q81" s="14">
        <v>54.5</v>
      </c>
      <c r="R81" s="14">
        <v>54.5</v>
      </c>
      <c r="S81" s="14">
        <v>0</v>
      </c>
      <c r="T81" s="14">
        <v>0</v>
      </c>
    </row>
    <row r="82" spans="1:20" s="13" customFormat="1" ht="15.75" customHeight="1" x14ac:dyDescent="0.25">
      <c r="A82" s="9">
        <v>1995</v>
      </c>
      <c r="B82" s="9">
        <v>12</v>
      </c>
      <c r="C82" s="10">
        <f t="shared" si="5"/>
        <v>8.3333333333333339</v>
      </c>
      <c r="D82" s="10">
        <f t="shared" si="6"/>
        <v>100</v>
      </c>
      <c r="E82" s="14">
        <v>269.97000000000003</v>
      </c>
      <c r="F82" s="14">
        <f t="shared" si="7"/>
        <v>32.3964</v>
      </c>
      <c r="G82" s="38">
        <f t="shared" si="8"/>
        <v>3.0867627267227221E-2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50</v>
      </c>
      <c r="T82" s="14">
        <v>50</v>
      </c>
    </row>
    <row r="83" spans="1:20" s="13" customFormat="1" ht="15.75" customHeight="1" x14ac:dyDescent="0.25">
      <c r="A83" s="9">
        <v>1996</v>
      </c>
      <c r="B83" s="9">
        <v>12</v>
      </c>
      <c r="C83" s="10">
        <f t="shared" si="5"/>
        <v>8.3333333333333339</v>
      </c>
      <c r="D83" s="10">
        <f t="shared" si="6"/>
        <v>100</v>
      </c>
      <c r="E83" s="14">
        <v>269.97000000000003</v>
      </c>
      <c r="F83" s="14">
        <f t="shared" si="7"/>
        <v>32.3964</v>
      </c>
      <c r="G83" s="38">
        <f t="shared" si="8"/>
        <v>3.0867627267227221E-2</v>
      </c>
      <c r="I83" s="14">
        <v>50</v>
      </c>
      <c r="J83" s="14">
        <v>50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</row>
    <row r="84" spans="1:20" s="13" customFormat="1" ht="15.75" customHeight="1" x14ac:dyDescent="0.25">
      <c r="A84" s="9">
        <v>1997</v>
      </c>
      <c r="B84" s="9">
        <v>12</v>
      </c>
      <c r="C84" s="10">
        <f t="shared" si="5"/>
        <v>36.333333333333336</v>
      </c>
      <c r="D84" s="10">
        <f t="shared" si="6"/>
        <v>436</v>
      </c>
      <c r="E84" s="14">
        <v>269.97000000000003</v>
      </c>
      <c r="F84" s="14">
        <f t="shared" si="7"/>
        <v>7.4303669724770645</v>
      </c>
      <c r="G84" s="38">
        <f t="shared" si="8"/>
        <v>0.13458285488511068</v>
      </c>
      <c r="I84" s="14">
        <v>0</v>
      </c>
      <c r="J84" s="14">
        <v>0</v>
      </c>
      <c r="K84" s="14">
        <v>54.5</v>
      </c>
      <c r="L84" s="14">
        <v>54.5</v>
      </c>
      <c r="M84" s="14">
        <v>54.5</v>
      </c>
      <c r="N84" s="14">
        <v>54.5</v>
      </c>
      <c r="O84" s="14">
        <v>54.5</v>
      </c>
      <c r="P84" s="14">
        <v>54.5</v>
      </c>
      <c r="Q84" s="14">
        <v>54.5</v>
      </c>
      <c r="R84" s="14">
        <v>54.5</v>
      </c>
      <c r="S84" s="14">
        <v>0</v>
      </c>
      <c r="T84" s="14">
        <v>0</v>
      </c>
    </row>
    <row r="85" spans="1:20" s="13" customFormat="1" ht="15.75" customHeight="1" x14ac:dyDescent="0.25">
      <c r="A85" s="9">
        <v>1998</v>
      </c>
      <c r="B85" s="9">
        <v>12</v>
      </c>
      <c r="C85" s="10">
        <f t="shared" si="5"/>
        <v>9.1666666666666661</v>
      </c>
      <c r="D85" s="10">
        <f t="shared" si="6"/>
        <v>110</v>
      </c>
      <c r="E85" s="14">
        <v>269.97000000000003</v>
      </c>
      <c r="F85" s="14">
        <f t="shared" si="7"/>
        <v>29.45127272727273</v>
      </c>
      <c r="G85" s="38">
        <f t="shared" si="8"/>
        <v>3.3954389993949938E-2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55</v>
      </c>
      <c r="T85" s="14">
        <v>55</v>
      </c>
    </row>
    <row r="86" spans="1:20" s="13" customFormat="1" ht="15.75" customHeight="1" x14ac:dyDescent="0.25">
      <c r="A86" s="9">
        <v>1999</v>
      </c>
      <c r="B86" s="9">
        <v>12</v>
      </c>
      <c r="C86" s="10">
        <f t="shared" si="5"/>
        <v>9.1666666666666661</v>
      </c>
      <c r="D86" s="10">
        <f t="shared" si="6"/>
        <v>110</v>
      </c>
      <c r="E86" s="14">
        <v>269.97000000000003</v>
      </c>
      <c r="F86" s="14">
        <f t="shared" si="7"/>
        <v>29.45127272727273</v>
      </c>
      <c r="G86" s="38">
        <f t="shared" si="8"/>
        <v>3.3954389993949938E-2</v>
      </c>
      <c r="I86" s="14">
        <v>55</v>
      </c>
      <c r="J86" s="14">
        <v>55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</row>
    <row r="87" spans="1:20" s="13" customFormat="1" ht="15.75" customHeight="1" x14ac:dyDescent="0.25">
      <c r="A87" s="9">
        <v>2000</v>
      </c>
      <c r="B87" s="9">
        <v>12</v>
      </c>
      <c r="C87" s="10">
        <f t="shared" si="5"/>
        <v>38.916666666666664</v>
      </c>
      <c r="D87" s="10">
        <f t="shared" si="6"/>
        <v>467</v>
      </c>
      <c r="E87" s="14">
        <v>269.97000000000003</v>
      </c>
      <c r="F87" s="14">
        <f t="shared" si="7"/>
        <v>6.9371306209850117</v>
      </c>
      <c r="G87" s="38">
        <f t="shared" si="8"/>
        <v>0.1441518193379511</v>
      </c>
      <c r="I87" s="14">
        <v>0</v>
      </c>
      <c r="J87" s="14">
        <v>0</v>
      </c>
      <c r="K87" s="14">
        <v>59.5</v>
      </c>
      <c r="L87" s="14">
        <v>59.5</v>
      </c>
      <c r="M87" s="14">
        <v>59.5</v>
      </c>
      <c r="N87" s="14">
        <v>59.5</v>
      </c>
      <c r="O87" s="14">
        <v>59.5</v>
      </c>
      <c r="P87" s="14">
        <v>59.5</v>
      </c>
      <c r="Q87" s="14">
        <v>55</v>
      </c>
      <c r="R87" s="14">
        <v>55</v>
      </c>
      <c r="S87" s="14">
        <v>0</v>
      </c>
      <c r="T87" s="14">
        <v>0</v>
      </c>
    </row>
    <row r="88" spans="1:20" s="13" customFormat="1" ht="15.75" customHeight="1" x14ac:dyDescent="0.25">
      <c r="A88" s="9">
        <v>2001</v>
      </c>
      <c r="B88" s="9">
        <v>12</v>
      </c>
      <c r="C88" s="10">
        <f t="shared" si="5"/>
        <v>9.1666666666666661</v>
      </c>
      <c r="D88" s="10">
        <f t="shared" si="6"/>
        <v>110</v>
      </c>
      <c r="E88" s="14">
        <v>269.97000000000003</v>
      </c>
      <c r="F88" s="14">
        <f t="shared" si="7"/>
        <v>29.45127272727273</v>
      </c>
      <c r="G88" s="38">
        <f t="shared" si="8"/>
        <v>3.3954389993949938E-2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55</v>
      </c>
      <c r="T88" s="14">
        <v>55</v>
      </c>
    </row>
    <row r="89" spans="1:20" s="13" customFormat="1" ht="15.75" customHeight="1" x14ac:dyDescent="0.25">
      <c r="A89" s="9">
        <v>2002</v>
      </c>
      <c r="B89" s="9">
        <v>12</v>
      </c>
      <c r="C89" s="10">
        <f t="shared" si="5"/>
        <v>9.1666666666666661</v>
      </c>
      <c r="D89" s="10">
        <f t="shared" si="6"/>
        <v>110</v>
      </c>
      <c r="E89" s="14">
        <v>269.97000000000003</v>
      </c>
      <c r="F89" s="14">
        <f t="shared" si="7"/>
        <v>29.45127272727273</v>
      </c>
      <c r="G89" s="38">
        <f t="shared" si="8"/>
        <v>3.3954389993949938E-2</v>
      </c>
      <c r="I89" s="14">
        <v>55</v>
      </c>
      <c r="J89" s="14">
        <v>55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</row>
    <row r="90" spans="1:20" s="13" customFormat="1" ht="15.75" customHeight="1" x14ac:dyDescent="0.25">
      <c r="A90" s="9">
        <v>2003</v>
      </c>
      <c r="B90" s="9">
        <v>12</v>
      </c>
      <c r="C90" s="10">
        <f t="shared" si="5"/>
        <v>39.666666666666664</v>
      </c>
      <c r="D90" s="10">
        <f t="shared" si="6"/>
        <v>476</v>
      </c>
      <c r="E90" s="14">
        <v>269.97000000000003</v>
      </c>
      <c r="F90" s="14">
        <f t="shared" si="7"/>
        <v>6.8059663865546227</v>
      </c>
      <c r="G90" s="38">
        <f t="shared" si="8"/>
        <v>0.14692990579200155</v>
      </c>
      <c r="I90" s="14">
        <v>0</v>
      </c>
      <c r="J90" s="14">
        <v>0</v>
      </c>
      <c r="K90" s="14">
        <v>59.5</v>
      </c>
      <c r="L90" s="14">
        <v>59.5</v>
      </c>
      <c r="M90" s="14">
        <v>59.5</v>
      </c>
      <c r="N90" s="14">
        <v>59.5</v>
      </c>
      <c r="O90" s="14">
        <v>59.5</v>
      </c>
      <c r="P90" s="14">
        <v>59.5</v>
      </c>
      <c r="Q90" s="14">
        <v>59.5</v>
      </c>
      <c r="R90" s="14">
        <v>59.5</v>
      </c>
      <c r="S90" s="14">
        <v>0</v>
      </c>
      <c r="T90" s="14">
        <v>0</v>
      </c>
    </row>
    <row r="91" spans="1:20" s="64" customFormat="1" ht="15.75" customHeight="1" x14ac:dyDescent="0.25">
      <c r="A91" s="9">
        <v>2004</v>
      </c>
      <c r="B91" s="9">
        <v>12</v>
      </c>
      <c r="C91" s="10">
        <f t="shared" si="5"/>
        <v>9.1666666666666661</v>
      </c>
      <c r="D91" s="10">
        <f t="shared" si="6"/>
        <v>110</v>
      </c>
      <c r="E91" s="14">
        <v>269.97000000000003</v>
      </c>
      <c r="F91" s="14">
        <f t="shared" si="7"/>
        <v>29.45127272727273</v>
      </c>
      <c r="G91" s="38">
        <f t="shared" si="8"/>
        <v>3.3954389993949938E-2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55</v>
      </c>
      <c r="T91" s="14">
        <v>55</v>
      </c>
    </row>
    <row r="92" spans="1:20" s="64" customFormat="1" ht="15.75" customHeight="1" x14ac:dyDescent="0.25">
      <c r="A92" s="9">
        <v>2005</v>
      </c>
      <c r="B92" s="9">
        <v>12</v>
      </c>
      <c r="C92" s="10">
        <f t="shared" si="5"/>
        <v>9.1666666666666661</v>
      </c>
      <c r="D92" s="10">
        <f t="shared" si="6"/>
        <v>110</v>
      </c>
      <c r="E92" s="14">
        <v>269.97000000000003</v>
      </c>
      <c r="F92" s="14">
        <f t="shared" si="7"/>
        <v>29.45127272727273</v>
      </c>
      <c r="G92" s="38">
        <f t="shared" si="8"/>
        <v>3.3954389993949938E-2</v>
      </c>
      <c r="I92" s="14">
        <v>55</v>
      </c>
      <c r="J92" s="14">
        <v>55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64" customFormat="1" ht="15.75" customHeight="1" x14ac:dyDescent="0.25">
      <c r="A93" s="9">
        <v>2006</v>
      </c>
      <c r="B93" s="9">
        <v>12</v>
      </c>
      <c r="C93" s="10">
        <f t="shared" si="5"/>
        <v>0.66666666666666663</v>
      </c>
      <c r="D93" s="10">
        <f t="shared" si="6"/>
        <v>8</v>
      </c>
      <c r="E93" s="14">
        <v>269.97000000000003</v>
      </c>
      <c r="F93" s="14">
        <f t="shared" si="7"/>
        <v>404.95500000000004</v>
      </c>
      <c r="G93" s="38">
        <f t="shared" si="8"/>
        <v>2.4694101813781772E-3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8</v>
      </c>
    </row>
    <row r="94" spans="1:20" s="64" customFormat="1" ht="15.75" customHeight="1" x14ac:dyDescent="0.25">
      <c r="A94" s="9">
        <v>2007</v>
      </c>
      <c r="B94" s="9">
        <v>12</v>
      </c>
      <c r="C94" s="10">
        <f t="shared" si="5"/>
        <v>31.691666666666666</v>
      </c>
      <c r="D94" s="10">
        <f t="shared" si="6"/>
        <v>380.3</v>
      </c>
      <c r="E94" s="14">
        <v>269.97000000000003</v>
      </c>
      <c r="F94" s="14">
        <f t="shared" si="7"/>
        <v>8.5186431764396531</v>
      </c>
      <c r="G94" s="38">
        <f t="shared" si="8"/>
        <v>0.11738958649726512</v>
      </c>
      <c r="I94" s="14">
        <v>41.5</v>
      </c>
      <c r="J94" s="14">
        <v>41.5</v>
      </c>
      <c r="K94" s="14">
        <v>16.600000000000001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63.5</v>
      </c>
      <c r="R94" s="14">
        <v>64.5</v>
      </c>
      <c r="S94" s="14">
        <v>50.9</v>
      </c>
      <c r="T94" s="14">
        <v>101.8</v>
      </c>
    </row>
    <row r="95" spans="1:20" s="64" customFormat="1" ht="15.75" customHeight="1" x14ac:dyDescent="0.25">
      <c r="A95" s="9">
        <v>2008</v>
      </c>
      <c r="B95" s="9">
        <v>12</v>
      </c>
      <c r="C95" s="10">
        <f t="shared" si="5"/>
        <v>1.76475</v>
      </c>
      <c r="D95" s="10">
        <f t="shared" si="6"/>
        <v>21.177</v>
      </c>
      <c r="E95" s="14">
        <v>269.97000000000003</v>
      </c>
      <c r="F95" s="14">
        <f t="shared" si="7"/>
        <v>152.97917552061199</v>
      </c>
      <c r="G95" s="38">
        <f t="shared" si="8"/>
        <v>6.5368374263807087E-3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14.677</v>
      </c>
      <c r="Q95" s="14">
        <v>6.5</v>
      </c>
      <c r="R95" s="14">
        <v>0</v>
      </c>
      <c r="S95" s="14">
        <v>0</v>
      </c>
      <c r="T95" s="14">
        <v>0</v>
      </c>
    </row>
    <row r="96" spans="1:20" s="64" customFormat="1" ht="15.75" customHeight="1" x14ac:dyDescent="0.25">
      <c r="A96" s="9">
        <v>2009</v>
      </c>
      <c r="B96" s="9">
        <v>12</v>
      </c>
      <c r="C96" s="10">
        <f t="shared" si="5"/>
        <v>17.897583333333333</v>
      </c>
      <c r="D96" s="10">
        <f t="shared" si="6"/>
        <v>214.77100000000002</v>
      </c>
      <c r="E96" s="14">
        <v>269.97000000000003</v>
      </c>
      <c r="F96" s="14">
        <f t="shared" si="7"/>
        <v>15.084159406996291</v>
      </c>
      <c r="G96" s="38">
        <f t="shared" si="8"/>
        <v>6.6294711758096578E-2</v>
      </c>
      <c r="I96" s="14">
        <v>43.871000000000002</v>
      </c>
      <c r="J96" s="14">
        <v>63.4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6</v>
      </c>
      <c r="R96" s="14">
        <v>59.5</v>
      </c>
      <c r="S96" s="14">
        <v>42</v>
      </c>
      <c r="T96" s="14">
        <v>0</v>
      </c>
    </row>
    <row r="97" spans="1:34" s="64" customFormat="1" ht="15.75" customHeight="1" x14ac:dyDescent="0.25">
      <c r="A97" s="9">
        <v>2010</v>
      </c>
      <c r="B97" s="9">
        <v>12</v>
      </c>
      <c r="C97" s="10">
        <f t="shared" si="5"/>
        <v>2.9499999999999997</v>
      </c>
      <c r="D97" s="10">
        <f t="shared" si="6"/>
        <v>35.4</v>
      </c>
      <c r="E97" s="14">
        <v>269.97000000000003</v>
      </c>
      <c r="F97" s="14">
        <f t="shared" ref="F97:F107" si="9">E97/C97</f>
        <v>91.515254237288147</v>
      </c>
      <c r="G97" s="38">
        <f t="shared" ref="G97:G107" si="10">C97/E97</f>
        <v>1.0927140052598434E-2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15.4</v>
      </c>
      <c r="S97" s="14">
        <v>10</v>
      </c>
      <c r="T97" s="14">
        <v>10</v>
      </c>
    </row>
    <row r="98" spans="1:34" s="64" customFormat="1" ht="15.75" customHeight="1" x14ac:dyDescent="0.25">
      <c r="A98" s="9">
        <v>2011</v>
      </c>
      <c r="B98" s="9">
        <v>12</v>
      </c>
      <c r="C98" s="10">
        <f t="shared" ref="C98:C107" si="11">D98/B98</f>
        <v>1.4916666666666665</v>
      </c>
      <c r="D98" s="10">
        <f t="shared" ref="D98:D107" si="12">SUM(I98:T98)</f>
        <v>17.899999999999999</v>
      </c>
      <c r="E98" s="14">
        <v>269.97000000000003</v>
      </c>
      <c r="F98" s="14">
        <f t="shared" si="9"/>
        <v>180.98547486033524</v>
      </c>
      <c r="G98" s="38">
        <f t="shared" si="10"/>
        <v>5.5253052808336717E-3</v>
      </c>
      <c r="I98" s="14">
        <v>8.1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3.8</v>
      </c>
      <c r="T98" s="14">
        <v>6</v>
      </c>
    </row>
    <row r="99" spans="1:34" s="64" customFormat="1" ht="15.75" customHeight="1" x14ac:dyDescent="0.25">
      <c r="A99" s="9">
        <v>2012</v>
      </c>
      <c r="B99" s="9">
        <v>12</v>
      </c>
      <c r="C99" s="10">
        <f t="shared" si="11"/>
        <v>11.091666666666667</v>
      </c>
      <c r="D99" s="10">
        <f t="shared" si="12"/>
        <v>133.1</v>
      </c>
      <c r="E99" s="14">
        <v>269.97000000000003</v>
      </c>
      <c r="F99" s="14">
        <f t="shared" si="9"/>
        <v>24.339894815927877</v>
      </c>
      <c r="G99" s="38">
        <f t="shared" si="10"/>
        <v>4.1084811892679429E-2</v>
      </c>
      <c r="I99" s="14">
        <v>20.2</v>
      </c>
      <c r="J99" s="14">
        <v>70</v>
      </c>
      <c r="K99" s="14">
        <v>42.9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</row>
    <row r="100" spans="1:34" s="64" customFormat="1" ht="15.75" customHeight="1" x14ac:dyDescent="0.25">
      <c r="A100" s="9">
        <v>2013</v>
      </c>
      <c r="B100" s="9">
        <v>12</v>
      </c>
      <c r="C100" s="10">
        <f t="shared" si="11"/>
        <v>9.9500000000000011</v>
      </c>
      <c r="D100" s="10">
        <f t="shared" si="12"/>
        <v>119.4</v>
      </c>
      <c r="E100" s="14">
        <v>269.97000000000003</v>
      </c>
      <c r="F100" s="14">
        <f t="shared" si="9"/>
        <v>27.132663316582914</v>
      </c>
      <c r="G100" s="38">
        <f t="shared" si="10"/>
        <v>3.6855946957069306E-2</v>
      </c>
      <c r="I100" s="14">
        <v>0</v>
      </c>
      <c r="J100" s="14">
        <v>0</v>
      </c>
      <c r="K100" s="14">
        <v>0</v>
      </c>
      <c r="L100" s="14">
        <v>60.7</v>
      </c>
      <c r="M100" s="14">
        <v>58.7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</row>
    <row r="101" spans="1:34" s="64" customFormat="1" ht="15.75" customHeight="1" x14ac:dyDescent="0.25">
      <c r="A101" s="9">
        <v>2014</v>
      </c>
      <c r="B101" s="9">
        <v>12</v>
      </c>
      <c r="C101" s="10">
        <f t="shared" si="11"/>
        <v>7.0083333333333329</v>
      </c>
      <c r="D101" s="10">
        <f t="shared" si="12"/>
        <v>84.1</v>
      </c>
      <c r="E101" s="14">
        <v>269.97000000000003</v>
      </c>
      <c r="F101" s="14">
        <f t="shared" si="9"/>
        <v>38.521284185493464</v>
      </c>
      <c r="G101" s="38">
        <f t="shared" si="10"/>
        <v>2.595967453173809E-2</v>
      </c>
      <c r="I101" s="14">
        <v>0</v>
      </c>
      <c r="J101" s="14">
        <v>52.5</v>
      </c>
      <c r="K101" s="14">
        <v>31.6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</row>
    <row r="102" spans="1:34" s="64" customFormat="1" ht="15.75" customHeight="1" x14ac:dyDescent="0.25">
      <c r="A102" s="9">
        <v>2015</v>
      </c>
      <c r="B102" s="9">
        <v>12</v>
      </c>
      <c r="C102" s="10">
        <f t="shared" si="11"/>
        <v>12.108333333333334</v>
      </c>
      <c r="D102" s="10">
        <f t="shared" si="12"/>
        <v>145.30000000000001</v>
      </c>
      <c r="E102" s="14">
        <v>269.97000000000003</v>
      </c>
      <c r="F102" s="14">
        <f t="shared" si="9"/>
        <v>22.296214728148659</v>
      </c>
      <c r="G102" s="38">
        <f t="shared" si="10"/>
        <v>4.4850662419281151E-2</v>
      </c>
      <c r="I102" s="14">
        <v>0</v>
      </c>
      <c r="J102" s="14">
        <v>0</v>
      </c>
      <c r="K102" s="14">
        <v>60.3</v>
      </c>
      <c r="L102" s="14">
        <v>85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34" s="64" customFormat="1" ht="15.75" customHeight="1" x14ac:dyDescent="0.25">
      <c r="A103" s="9">
        <v>2016</v>
      </c>
      <c r="B103" s="9">
        <v>12</v>
      </c>
      <c r="C103" s="10">
        <f t="shared" si="11"/>
        <v>12</v>
      </c>
      <c r="D103" s="10">
        <f t="shared" si="12"/>
        <v>144</v>
      </c>
      <c r="E103" s="14">
        <v>269.97000000000003</v>
      </c>
      <c r="F103" s="14">
        <f t="shared" si="9"/>
        <v>22.497500000000002</v>
      </c>
      <c r="G103" s="38">
        <f t="shared" si="10"/>
        <v>4.4449383264807199E-2</v>
      </c>
      <c r="I103" s="14">
        <v>20</v>
      </c>
      <c r="J103" s="14">
        <v>62</v>
      </c>
      <c r="K103" s="14">
        <v>62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</row>
    <row r="104" spans="1:34" s="64" customFormat="1" ht="15.75" customHeight="1" x14ac:dyDescent="0.25">
      <c r="A104" s="9">
        <v>2017</v>
      </c>
      <c r="B104" s="9">
        <v>12</v>
      </c>
      <c r="C104" s="10">
        <f t="shared" si="11"/>
        <v>15.21475</v>
      </c>
      <c r="D104" s="10">
        <f t="shared" si="12"/>
        <v>182.577</v>
      </c>
      <c r="E104" s="14">
        <v>269.97000000000003</v>
      </c>
      <c r="F104" s="14">
        <f t="shared" si="9"/>
        <v>17.743965559736441</v>
      </c>
      <c r="G104" s="38">
        <f t="shared" si="10"/>
        <v>5.6357187835685441E-2</v>
      </c>
      <c r="I104" s="14">
        <v>21.16</v>
      </c>
      <c r="J104" s="14">
        <v>82</v>
      </c>
      <c r="K104" s="14">
        <v>42.32</v>
      </c>
      <c r="L104" s="14">
        <v>0</v>
      </c>
      <c r="M104" s="14">
        <v>0</v>
      </c>
      <c r="N104" s="14">
        <v>10.130000000000001</v>
      </c>
      <c r="O104" s="14">
        <v>26.966999999999999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</row>
    <row r="105" spans="1:34" s="64" customFormat="1" ht="15.75" customHeight="1" x14ac:dyDescent="0.25">
      <c r="A105" s="9">
        <v>2018</v>
      </c>
      <c r="B105" s="9">
        <v>12</v>
      </c>
      <c r="C105" s="10">
        <f t="shared" si="11"/>
        <v>13.25</v>
      </c>
      <c r="D105" s="10">
        <f t="shared" si="12"/>
        <v>159</v>
      </c>
      <c r="E105" s="14">
        <v>269.97000000000003</v>
      </c>
      <c r="F105" s="14">
        <f t="shared" si="9"/>
        <v>20.375094339622642</v>
      </c>
      <c r="G105" s="38">
        <f t="shared" si="10"/>
        <v>4.9079527354891281E-2</v>
      </c>
      <c r="I105" s="14">
        <v>60.3</v>
      </c>
      <c r="J105" s="14">
        <v>85</v>
      </c>
      <c r="K105" s="14">
        <v>13.7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</row>
    <row r="106" spans="1:34" s="64" customFormat="1" ht="15.75" customHeight="1" x14ac:dyDescent="0.25">
      <c r="A106" s="9">
        <v>2019</v>
      </c>
      <c r="B106" s="9">
        <v>12</v>
      </c>
      <c r="C106" s="10">
        <f t="shared" si="11"/>
        <v>14.5</v>
      </c>
      <c r="D106" s="10">
        <f t="shared" si="12"/>
        <v>174</v>
      </c>
      <c r="E106" s="14">
        <v>269.97000000000003</v>
      </c>
      <c r="F106" s="14">
        <f t="shared" si="9"/>
        <v>18.618620689655174</v>
      </c>
      <c r="G106" s="38">
        <f t="shared" si="10"/>
        <v>5.3709671444975363E-2</v>
      </c>
      <c r="I106" s="14">
        <v>0</v>
      </c>
      <c r="J106" s="14">
        <v>17.100000000000001</v>
      </c>
      <c r="K106" s="14">
        <v>80</v>
      </c>
      <c r="L106" s="14">
        <v>66.7</v>
      </c>
      <c r="M106" s="14">
        <v>0</v>
      </c>
      <c r="N106" s="14">
        <v>0</v>
      </c>
      <c r="O106" s="14">
        <v>10.199999999999999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</row>
    <row r="107" spans="1:34" s="64" customFormat="1" ht="15.75" customHeight="1" x14ac:dyDescent="0.25">
      <c r="A107" s="9">
        <v>2020</v>
      </c>
      <c r="B107" s="9">
        <v>12</v>
      </c>
      <c r="C107" s="10">
        <f t="shared" si="11"/>
        <v>13.550000000000002</v>
      </c>
      <c r="D107" s="10">
        <f t="shared" si="12"/>
        <v>162.60000000000002</v>
      </c>
      <c r="E107" s="14">
        <v>269.97000000000003</v>
      </c>
      <c r="F107" s="14">
        <f t="shared" si="9"/>
        <v>19.923985239852396</v>
      </c>
      <c r="G107" s="38">
        <f t="shared" si="10"/>
        <v>5.0190761936511466E-2</v>
      </c>
      <c r="I107" s="14">
        <v>0</v>
      </c>
      <c r="J107" s="14">
        <v>0</v>
      </c>
      <c r="K107" s="14">
        <v>72.3</v>
      </c>
      <c r="L107" s="14">
        <v>80</v>
      </c>
      <c r="M107" s="14">
        <v>10.3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</row>
    <row r="108" spans="1:34" ht="15.75" customHeight="1" x14ac:dyDescent="0.25">
      <c r="A108" s="9">
        <v>2021</v>
      </c>
      <c r="B108" s="9">
        <v>12</v>
      </c>
      <c r="C108" s="10">
        <f t="shared" ref="C108" si="13">D108/B108</f>
        <v>9.1</v>
      </c>
      <c r="D108" s="10">
        <f t="shared" ref="D108" si="14">SUM(I108:T108)</f>
        <v>109.19999999999999</v>
      </c>
      <c r="E108" s="14">
        <v>269.97000000000003</v>
      </c>
      <c r="F108" s="14">
        <f t="shared" ref="F108" si="15">E108/C108</f>
        <v>29.66703296703297</v>
      </c>
      <c r="G108" s="38">
        <f t="shared" ref="G108" si="16">C108/E108</f>
        <v>3.370744897581212E-2</v>
      </c>
      <c r="H108" s="3"/>
      <c r="I108" s="17">
        <v>0</v>
      </c>
      <c r="J108" s="17">
        <v>0</v>
      </c>
      <c r="K108" s="17">
        <v>0</v>
      </c>
      <c r="L108" s="17">
        <v>54.4</v>
      </c>
      <c r="M108" s="17">
        <v>54.8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5.75" customHeight="1" x14ac:dyDescent="0.25">
      <c r="A109" s="9">
        <v>2022</v>
      </c>
      <c r="B109" s="9">
        <v>12</v>
      </c>
      <c r="C109" s="10">
        <f t="shared" ref="C109" si="17">D109/B109</f>
        <v>6.083333333333333</v>
      </c>
      <c r="D109" s="10">
        <f t="shared" ref="D109" si="18">SUM(I109:T109)</f>
        <v>73</v>
      </c>
      <c r="E109" s="14">
        <v>269.97000000000003</v>
      </c>
      <c r="F109" s="14">
        <f t="shared" ref="F109" si="19">E109/C109</f>
        <v>44.37863013698631</v>
      </c>
      <c r="G109" s="38">
        <f t="shared" ref="G109" si="20">C109/E109</f>
        <v>2.253336790507587E-2</v>
      </c>
      <c r="H109" s="3"/>
      <c r="I109" s="17">
        <v>0</v>
      </c>
      <c r="J109" s="17">
        <v>0</v>
      </c>
      <c r="K109" s="17">
        <v>15.6</v>
      </c>
      <c r="L109" s="17">
        <v>0</v>
      </c>
      <c r="M109" s="17">
        <v>0</v>
      </c>
      <c r="N109" s="17">
        <v>57.4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5.75" customHeight="1" x14ac:dyDescent="0.25">
      <c r="A110" s="9">
        <v>2023</v>
      </c>
      <c r="B110" s="9">
        <v>12</v>
      </c>
      <c r="C110" s="10">
        <f t="shared" ref="C110" si="21">D110/B110</f>
        <v>13.983333333333333</v>
      </c>
      <c r="D110" s="10">
        <f t="shared" ref="D110" si="22">SUM(I110:T110)</f>
        <v>167.79999999999998</v>
      </c>
      <c r="E110" s="14">
        <v>269.97000000000003</v>
      </c>
      <c r="F110" s="14">
        <f t="shared" ref="F110" si="23">E110/C110</f>
        <v>19.30655542312277</v>
      </c>
      <c r="G110" s="38">
        <f t="shared" ref="G110" si="24">C110/E110</f>
        <v>5.1795878554407274E-2</v>
      </c>
      <c r="H110" s="3"/>
      <c r="I110" s="17">
        <v>0</v>
      </c>
      <c r="J110" s="17">
        <v>0</v>
      </c>
      <c r="K110" s="17">
        <v>0</v>
      </c>
      <c r="L110" s="17">
        <v>71.099999999999994</v>
      </c>
      <c r="M110" s="17">
        <v>2.6</v>
      </c>
      <c r="N110" s="17">
        <v>0</v>
      </c>
      <c r="O110" s="17">
        <v>76.7</v>
      </c>
      <c r="P110" s="17">
        <v>17.399999999999999</v>
      </c>
      <c r="Q110" s="17">
        <v>0</v>
      </c>
      <c r="R110" s="17">
        <v>0</v>
      </c>
      <c r="S110" s="17">
        <v>0</v>
      </c>
      <c r="T110" s="17">
        <v>0</v>
      </c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5.75" customHeight="1" x14ac:dyDescent="0.25">
      <c r="A111" s="9">
        <v>2024</v>
      </c>
      <c r="B111" s="9">
        <v>12</v>
      </c>
      <c r="C111" s="10">
        <f t="shared" ref="C111" si="25">D111/B111</f>
        <v>9.9032258064516139</v>
      </c>
      <c r="D111" s="10">
        <f t="shared" ref="D111" si="26">SUM(I111:T111)</f>
        <v>118.83870967741936</v>
      </c>
      <c r="E111" s="14">
        <v>269.97000000000003</v>
      </c>
      <c r="F111" s="14">
        <f t="shared" ref="F111" si="27">E111/C111</f>
        <v>27.260814332247556</v>
      </c>
      <c r="G111" s="38">
        <f t="shared" ref="G111" si="28">C111/E111</f>
        <v>3.6682689952408094E-2</v>
      </c>
      <c r="H111" s="3"/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84</v>
      </c>
      <c r="O111" s="17">
        <v>34.838709677419352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5.75" customHeight="1" x14ac:dyDescent="0.25">
      <c r="A112" s="9">
        <v>2025</v>
      </c>
      <c r="B112" s="9">
        <v>12</v>
      </c>
      <c r="C112" s="10">
        <f>D112/B112</f>
        <v>9.0333333333333332</v>
      </c>
      <c r="D112" s="10">
        <f>SUM(I112:T112)</f>
        <v>108.4</v>
      </c>
      <c r="E112" s="14">
        <v>269.97000000000003</v>
      </c>
      <c r="F112" s="14">
        <f>E112/C112</f>
        <v>29.885977859778603</v>
      </c>
      <c r="G112" s="38">
        <f>C112/E112</f>
        <v>3.3460507957674308E-2</v>
      </c>
      <c r="H112" s="3"/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58.9</v>
      </c>
      <c r="O112" s="17">
        <v>49.5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5.75" customHeight="1" x14ac:dyDescent="0.25">
      <c r="A113" s="3"/>
      <c r="B113" s="3"/>
      <c r="C113" s="18"/>
      <c r="D113" s="18"/>
      <c r="E113" s="19"/>
      <c r="F113" s="19"/>
      <c r="G113" s="20"/>
      <c r="H113" s="3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5.75" customHeight="1" x14ac:dyDescent="0.25">
      <c r="A114" s="3"/>
      <c r="B114" s="3"/>
      <c r="C114" s="18"/>
      <c r="D114" s="18"/>
      <c r="E114" s="19"/>
      <c r="F114" s="19"/>
      <c r="G114" s="20"/>
      <c r="H114" s="3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5.75" customHeight="1" x14ac:dyDescent="0.25">
      <c r="A115" s="3"/>
      <c r="B115" s="3"/>
      <c r="C115" s="18"/>
      <c r="D115" s="18"/>
      <c r="E115" s="19"/>
      <c r="F115" s="19"/>
      <c r="G115" s="20"/>
      <c r="H115" s="3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5.75" customHeight="1" x14ac:dyDescent="0.25">
      <c r="A116" s="3"/>
      <c r="B116" s="3"/>
      <c r="C116" s="18"/>
      <c r="D116" s="18"/>
      <c r="E116" s="19"/>
      <c r="F116" s="19"/>
      <c r="G116" s="20"/>
      <c r="H116" s="3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5.75" customHeight="1" x14ac:dyDescent="0.25">
      <c r="A117" s="3"/>
      <c r="B117" s="3"/>
      <c r="C117" s="18"/>
      <c r="D117" s="18"/>
      <c r="E117" s="19"/>
      <c r="F117" s="19"/>
      <c r="G117" s="20"/>
      <c r="H117" s="3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5.75" customHeight="1" x14ac:dyDescent="0.25">
      <c r="A118" s="3"/>
      <c r="B118" s="3"/>
      <c r="C118" s="18"/>
      <c r="D118" s="18"/>
      <c r="E118" s="19"/>
      <c r="F118" s="19"/>
      <c r="G118" s="20"/>
      <c r="H118" s="3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5.75" customHeight="1" x14ac:dyDescent="0.25">
      <c r="A119" s="3"/>
      <c r="B119" s="3"/>
      <c r="C119" s="18"/>
      <c r="D119" s="18"/>
      <c r="E119" s="19"/>
      <c r="F119" s="19"/>
      <c r="G119" s="20"/>
      <c r="H119" s="3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5.75" customHeight="1" x14ac:dyDescent="0.25">
      <c r="A120" s="3"/>
      <c r="B120" s="3"/>
      <c r="C120" s="18"/>
      <c r="D120" s="18"/>
      <c r="E120" s="19"/>
      <c r="F120" s="19"/>
      <c r="G120" s="20"/>
      <c r="H120" s="3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5.75" customHeight="1" x14ac:dyDescent="0.25">
      <c r="A121" s="3"/>
      <c r="B121" s="3"/>
      <c r="C121" s="18"/>
      <c r="D121" s="18"/>
      <c r="E121" s="19"/>
      <c r="F121" s="19"/>
      <c r="G121" s="20"/>
      <c r="H121" s="3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5.75" customHeight="1" x14ac:dyDescent="0.25">
      <c r="A122" s="3"/>
      <c r="B122" s="3"/>
      <c r="C122" s="18"/>
      <c r="D122" s="18"/>
      <c r="E122" s="19"/>
      <c r="F122" s="19"/>
      <c r="G122" s="20"/>
      <c r="H122" s="3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5.75" customHeight="1" x14ac:dyDescent="0.25">
      <c r="A123" s="3"/>
      <c r="B123" s="3"/>
      <c r="C123" s="18"/>
      <c r="D123" s="18"/>
      <c r="E123" s="19"/>
      <c r="F123" s="19"/>
      <c r="G123" s="20"/>
      <c r="H123" s="3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5.75" customHeight="1" x14ac:dyDescent="0.25">
      <c r="A124" s="3"/>
      <c r="B124" s="3"/>
      <c r="C124" s="18"/>
      <c r="D124" s="18"/>
      <c r="E124" s="19"/>
      <c r="F124" s="19"/>
      <c r="G124" s="20"/>
      <c r="H124" s="3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5.75" customHeight="1" x14ac:dyDescent="0.25">
      <c r="A125" s="3"/>
      <c r="B125" s="3"/>
      <c r="C125" s="18"/>
      <c r="D125" s="18"/>
      <c r="E125" s="19"/>
      <c r="F125" s="19"/>
      <c r="G125" s="20"/>
      <c r="H125" s="3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5.75" customHeight="1" x14ac:dyDescent="0.25">
      <c r="A126" s="3"/>
      <c r="B126" s="3"/>
      <c r="C126" s="18"/>
      <c r="D126" s="18"/>
      <c r="E126" s="19"/>
      <c r="F126" s="19"/>
      <c r="G126" s="20"/>
      <c r="H126" s="3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5.75" customHeight="1" x14ac:dyDescent="0.25">
      <c r="A127" s="3"/>
      <c r="B127" s="3"/>
      <c r="C127" s="18"/>
      <c r="D127" s="18"/>
      <c r="E127" s="19"/>
      <c r="F127" s="19"/>
      <c r="G127" s="20"/>
      <c r="H127" s="3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5.75" customHeight="1" x14ac:dyDescent="0.25">
      <c r="A128" s="3"/>
      <c r="B128" s="3"/>
      <c r="C128" s="18"/>
      <c r="D128" s="18"/>
      <c r="E128" s="19"/>
      <c r="F128" s="19"/>
      <c r="G128" s="20"/>
      <c r="H128" s="3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5.75" customHeight="1" x14ac:dyDescent="0.25">
      <c r="A129" s="3"/>
      <c r="B129" s="3"/>
      <c r="C129" s="18"/>
      <c r="D129" s="18"/>
      <c r="E129" s="19"/>
      <c r="F129" s="19"/>
      <c r="G129" s="20"/>
      <c r="H129" s="3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5.75" customHeight="1" x14ac:dyDescent="0.25">
      <c r="A130" s="3"/>
      <c r="B130" s="3"/>
      <c r="C130" s="18"/>
      <c r="D130" s="18"/>
      <c r="E130" s="19"/>
      <c r="F130" s="19"/>
      <c r="G130" s="20"/>
      <c r="H130" s="3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5.75" customHeight="1" x14ac:dyDescent="0.25">
      <c r="A131" s="3"/>
      <c r="B131" s="3"/>
      <c r="C131" s="18"/>
      <c r="D131" s="18"/>
      <c r="E131" s="19"/>
      <c r="F131" s="19"/>
      <c r="G131" s="20"/>
      <c r="H131" s="3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5.75" customHeight="1" x14ac:dyDescent="0.25">
      <c r="A132" s="3"/>
      <c r="B132" s="3"/>
      <c r="C132" s="18"/>
      <c r="D132" s="18"/>
      <c r="E132" s="19"/>
      <c r="F132" s="19"/>
      <c r="G132" s="20"/>
      <c r="H132" s="3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5.75" customHeight="1" x14ac:dyDescent="0.25">
      <c r="A133" s="3"/>
      <c r="B133" s="3"/>
      <c r="C133" s="18"/>
      <c r="D133" s="18"/>
      <c r="E133" s="19"/>
      <c r="F133" s="19"/>
      <c r="G133" s="20"/>
      <c r="H133" s="3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5.75" customHeight="1" x14ac:dyDescent="0.25">
      <c r="A134" s="3"/>
      <c r="B134" s="3"/>
      <c r="C134" s="18"/>
      <c r="D134" s="18"/>
      <c r="E134" s="19"/>
      <c r="F134" s="19"/>
      <c r="G134" s="20"/>
      <c r="H134" s="3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5.75" customHeight="1" x14ac:dyDescent="0.25">
      <c r="A135" s="3"/>
      <c r="B135" s="3"/>
      <c r="C135" s="18"/>
      <c r="D135" s="18"/>
      <c r="E135" s="19"/>
      <c r="F135" s="19"/>
      <c r="G135" s="20"/>
      <c r="H135" s="3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5.75" customHeight="1" x14ac:dyDescent="0.25">
      <c r="A136" s="3"/>
      <c r="B136" s="3"/>
      <c r="C136" s="18"/>
      <c r="D136" s="18"/>
      <c r="E136" s="19"/>
      <c r="F136" s="19"/>
      <c r="G136" s="20"/>
      <c r="H136" s="3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5.75" customHeight="1" x14ac:dyDescent="0.25">
      <c r="A137" s="3"/>
      <c r="B137" s="3"/>
      <c r="C137" s="18"/>
      <c r="D137" s="18"/>
      <c r="E137" s="19"/>
      <c r="F137" s="19"/>
      <c r="G137" s="20"/>
      <c r="H137" s="3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5.75" customHeight="1" x14ac:dyDescent="0.25">
      <c r="A138" s="3"/>
      <c r="B138" s="3"/>
      <c r="C138" s="18"/>
      <c r="D138" s="18"/>
      <c r="E138" s="19"/>
      <c r="F138" s="19"/>
      <c r="G138" s="20"/>
      <c r="H138" s="3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5.75" customHeight="1" x14ac:dyDescent="0.25">
      <c r="A139" s="3"/>
      <c r="B139" s="3"/>
      <c r="C139" s="18"/>
      <c r="D139" s="18"/>
      <c r="E139" s="19"/>
      <c r="F139" s="19"/>
      <c r="G139" s="20"/>
      <c r="H139" s="3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5.75" customHeight="1" x14ac:dyDescent="0.25">
      <c r="A140" s="3"/>
      <c r="B140" s="3"/>
      <c r="C140" s="18"/>
      <c r="D140" s="18"/>
      <c r="E140" s="19"/>
      <c r="F140" s="19"/>
      <c r="G140" s="20"/>
      <c r="H140" s="3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5.75" customHeight="1" x14ac:dyDescent="0.25">
      <c r="A141" s="3"/>
      <c r="B141" s="3"/>
      <c r="C141" s="18"/>
      <c r="D141" s="18"/>
      <c r="E141" s="19"/>
      <c r="F141" s="19"/>
      <c r="G141" s="20"/>
      <c r="H141" s="3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5.75" customHeight="1" x14ac:dyDescent="0.25">
      <c r="A142" s="3"/>
      <c r="B142" s="3"/>
      <c r="C142" s="18"/>
      <c r="D142" s="18"/>
      <c r="E142" s="19"/>
      <c r="F142" s="19"/>
      <c r="G142" s="20"/>
      <c r="H142" s="3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5.75" customHeight="1" x14ac:dyDescent="0.25">
      <c r="A143" s="3"/>
      <c r="B143" s="3"/>
      <c r="C143" s="18"/>
      <c r="D143" s="18"/>
      <c r="E143" s="19"/>
      <c r="F143" s="19"/>
      <c r="G143" s="20"/>
      <c r="H143" s="3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5.75" customHeight="1" x14ac:dyDescent="0.25">
      <c r="A144" s="3"/>
      <c r="B144" s="3"/>
      <c r="C144" s="18"/>
      <c r="D144" s="18"/>
      <c r="E144" s="19"/>
      <c r="F144" s="19"/>
      <c r="G144" s="20"/>
      <c r="H144" s="3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5.75" customHeight="1" x14ac:dyDescent="0.25">
      <c r="A145" s="3"/>
      <c r="B145" s="3"/>
      <c r="C145" s="18"/>
      <c r="D145" s="18"/>
      <c r="E145" s="19"/>
      <c r="F145" s="19"/>
      <c r="G145" s="20"/>
      <c r="H145" s="3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5.75" customHeight="1" x14ac:dyDescent="0.25">
      <c r="A146" s="3"/>
      <c r="B146" s="3"/>
      <c r="C146" s="18"/>
      <c r="D146" s="18"/>
      <c r="E146" s="19"/>
      <c r="F146" s="19"/>
      <c r="G146" s="20"/>
      <c r="H146" s="3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5.75" customHeight="1" x14ac:dyDescent="0.25">
      <c r="A147" s="3"/>
      <c r="B147" s="3"/>
      <c r="C147" s="18"/>
      <c r="D147" s="18"/>
      <c r="E147" s="19"/>
      <c r="F147" s="19"/>
      <c r="G147" s="20"/>
      <c r="H147" s="3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5.75" customHeight="1" x14ac:dyDescent="0.25">
      <c r="A148" s="3"/>
      <c r="B148" s="3"/>
      <c r="C148" s="18"/>
      <c r="D148" s="18"/>
      <c r="E148" s="19"/>
      <c r="F148" s="19"/>
      <c r="G148" s="20"/>
      <c r="H148" s="3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5.75" customHeight="1" x14ac:dyDescent="0.25">
      <c r="A149" s="3"/>
      <c r="B149" s="3"/>
      <c r="C149" s="18"/>
      <c r="D149" s="18"/>
      <c r="E149" s="19"/>
      <c r="F149" s="19"/>
      <c r="G149" s="20"/>
      <c r="H149" s="3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5.75" customHeight="1" x14ac:dyDescent="0.25">
      <c r="A150" s="3"/>
      <c r="B150" s="3"/>
      <c r="C150" s="18"/>
      <c r="D150" s="18"/>
      <c r="E150" s="19"/>
      <c r="F150" s="19"/>
      <c r="G150" s="20"/>
      <c r="H150" s="3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5.75" customHeight="1" x14ac:dyDescent="0.25">
      <c r="A151" s="3"/>
      <c r="B151" s="3"/>
      <c r="C151" s="18"/>
      <c r="D151" s="18"/>
      <c r="E151" s="19"/>
      <c r="F151" s="19"/>
      <c r="G151" s="20"/>
      <c r="H151" s="3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5.75" customHeight="1" x14ac:dyDescent="0.25">
      <c r="A152" s="3"/>
      <c r="B152" s="3"/>
      <c r="C152" s="18"/>
      <c r="D152" s="18"/>
      <c r="E152" s="19"/>
      <c r="F152" s="19"/>
      <c r="G152" s="20"/>
      <c r="H152" s="3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5.75" customHeight="1" x14ac:dyDescent="0.25">
      <c r="A153" s="3"/>
      <c r="B153" s="3"/>
      <c r="C153" s="18"/>
      <c r="D153" s="18"/>
      <c r="E153" s="19"/>
      <c r="F153" s="19"/>
      <c r="G153" s="20"/>
      <c r="H153" s="3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5.75" customHeight="1" x14ac:dyDescent="0.25">
      <c r="A154" s="3"/>
      <c r="B154" s="3"/>
      <c r="C154" s="18"/>
      <c r="D154" s="18"/>
      <c r="E154" s="19"/>
      <c r="F154" s="19"/>
      <c r="G154" s="20"/>
      <c r="H154" s="3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5.75" customHeight="1" x14ac:dyDescent="0.25">
      <c r="A155" s="3"/>
      <c r="B155" s="3"/>
      <c r="C155" s="18"/>
      <c r="D155" s="18"/>
      <c r="E155" s="19"/>
      <c r="F155" s="19"/>
      <c r="G155" s="20"/>
      <c r="H155" s="3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5.75" customHeight="1" x14ac:dyDescent="0.25">
      <c r="A156" s="3"/>
      <c r="B156" s="3"/>
      <c r="C156" s="18"/>
      <c r="D156" s="18"/>
      <c r="E156" s="19"/>
      <c r="F156" s="19"/>
      <c r="G156" s="20"/>
      <c r="H156" s="3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5.75" customHeight="1" x14ac:dyDescent="0.25">
      <c r="A157" s="3"/>
      <c r="B157" s="3"/>
      <c r="C157" s="18"/>
      <c r="D157" s="18"/>
      <c r="E157" s="19"/>
      <c r="F157" s="19"/>
      <c r="G157" s="20"/>
      <c r="H157" s="3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5.75" customHeight="1" x14ac:dyDescent="0.25">
      <c r="A158" s="3"/>
      <c r="B158" s="3"/>
      <c r="C158" s="18"/>
      <c r="D158" s="18"/>
      <c r="E158" s="19"/>
      <c r="F158" s="19"/>
      <c r="G158" s="20"/>
      <c r="H158" s="3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5.75" customHeight="1" x14ac:dyDescent="0.25">
      <c r="A159" s="3"/>
      <c r="B159" s="3"/>
      <c r="C159" s="18"/>
      <c r="D159" s="18"/>
      <c r="E159" s="19"/>
      <c r="F159" s="19"/>
      <c r="G159" s="20"/>
      <c r="H159" s="3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5.75" customHeight="1" x14ac:dyDescent="0.25">
      <c r="A160" s="3"/>
      <c r="B160" s="3"/>
      <c r="C160" s="18"/>
      <c r="D160" s="18"/>
      <c r="E160" s="19"/>
      <c r="F160" s="19"/>
      <c r="G160" s="20"/>
      <c r="H160" s="3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5.75" customHeight="1" x14ac:dyDescent="0.25">
      <c r="A161" s="3"/>
      <c r="B161" s="3"/>
      <c r="C161" s="18"/>
      <c r="D161" s="18"/>
      <c r="E161" s="19"/>
      <c r="F161" s="19"/>
      <c r="G161" s="20"/>
      <c r="H161" s="3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5.75" customHeight="1" x14ac:dyDescent="0.25">
      <c r="A162" s="3"/>
      <c r="B162" s="3"/>
      <c r="C162" s="18"/>
      <c r="D162" s="18"/>
      <c r="E162" s="19"/>
      <c r="F162" s="19"/>
      <c r="G162" s="20"/>
      <c r="H162" s="3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5.75" customHeight="1" x14ac:dyDescent="0.25">
      <c r="A163" s="3"/>
      <c r="B163" s="3"/>
      <c r="C163" s="18"/>
      <c r="D163" s="18"/>
      <c r="E163" s="19"/>
      <c r="F163" s="19"/>
      <c r="G163" s="20"/>
      <c r="H163" s="3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5.75" customHeight="1" x14ac:dyDescent="0.25">
      <c r="A164" s="3"/>
      <c r="B164" s="3"/>
      <c r="C164" s="18"/>
      <c r="D164" s="18"/>
      <c r="E164" s="19"/>
      <c r="F164" s="19"/>
      <c r="G164" s="20"/>
      <c r="H164" s="3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5.75" customHeight="1" x14ac:dyDescent="0.25">
      <c r="A165" s="3"/>
      <c r="B165" s="3"/>
      <c r="C165" s="18"/>
      <c r="D165" s="18"/>
      <c r="E165" s="19"/>
      <c r="F165" s="19"/>
      <c r="G165" s="20"/>
      <c r="H165" s="3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5.75" customHeight="1" x14ac:dyDescent="0.25">
      <c r="A166" s="3"/>
      <c r="B166" s="3"/>
      <c r="C166" s="18"/>
      <c r="D166" s="18"/>
      <c r="E166" s="19"/>
      <c r="F166" s="19"/>
      <c r="G166" s="20"/>
      <c r="H166" s="3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5.75" customHeight="1" x14ac:dyDescent="0.25">
      <c r="A167" s="3"/>
      <c r="B167" s="3"/>
      <c r="C167" s="18"/>
      <c r="D167" s="18"/>
      <c r="E167" s="19"/>
      <c r="F167" s="19"/>
      <c r="G167" s="20"/>
      <c r="H167" s="3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5.75" customHeight="1" x14ac:dyDescent="0.25">
      <c r="A168" s="3"/>
      <c r="B168" s="3"/>
      <c r="C168" s="18"/>
      <c r="D168" s="18"/>
      <c r="E168" s="19"/>
      <c r="F168" s="19"/>
      <c r="G168" s="20"/>
      <c r="H168" s="3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5.75" customHeight="1" x14ac:dyDescent="0.25">
      <c r="A169" s="3"/>
      <c r="B169" s="3"/>
      <c r="C169" s="18"/>
      <c r="D169" s="18"/>
      <c r="E169" s="19"/>
      <c r="F169" s="19"/>
      <c r="G169" s="20"/>
      <c r="H169" s="3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5.75" customHeight="1" x14ac:dyDescent="0.25">
      <c r="A170" s="3"/>
      <c r="B170" s="3"/>
      <c r="C170" s="18"/>
      <c r="D170" s="18"/>
      <c r="E170" s="19"/>
      <c r="F170" s="19"/>
      <c r="G170" s="20"/>
      <c r="H170" s="3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5.75" customHeight="1" x14ac:dyDescent="0.25">
      <c r="A171" s="3"/>
      <c r="B171" s="3"/>
      <c r="C171" s="18"/>
      <c r="D171" s="18"/>
      <c r="E171" s="19"/>
      <c r="F171" s="19"/>
      <c r="G171" s="20"/>
      <c r="H171" s="3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5.75" customHeight="1" x14ac:dyDescent="0.25">
      <c r="A172" s="3"/>
      <c r="B172" s="3"/>
      <c r="C172" s="18"/>
      <c r="D172" s="18"/>
      <c r="E172" s="19"/>
      <c r="F172" s="19"/>
      <c r="G172" s="20"/>
      <c r="H172" s="3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5.75" customHeight="1" x14ac:dyDescent="0.25">
      <c r="A173" s="3"/>
      <c r="B173" s="3"/>
      <c r="C173" s="18"/>
      <c r="D173" s="18"/>
      <c r="E173" s="19"/>
      <c r="F173" s="19"/>
      <c r="G173" s="20"/>
      <c r="H173" s="3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5.75" customHeight="1" x14ac:dyDescent="0.25">
      <c r="A174" s="3"/>
      <c r="B174" s="3"/>
      <c r="C174" s="18"/>
      <c r="D174" s="18"/>
      <c r="E174" s="19"/>
      <c r="F174" s="19"/>
      <c r="G174" s="20"/>
      <c r="H174" s="3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5.75" customHeight="1" x14ac:dyDescent="0.25">
      <c r="A175" s="3"/>
      <c r="B175" s="3"/>
      <c r="C175" s="18"/>
      <c r="D175" s="18"/>
      <c r="E175" s="19"/>
      <c r="F175" s="19"/>
      <c r="G175" s="20"/>
      <c r="H175" s="3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5.75" customHeight="1" x14ac:dyDescent="0.25">
      <c r="A176" s="3"/>
      <c r="B176" s="3"/>
      <c r="C176" s="18"/>
      <c r="D176" s="18"/>
      <c r="E176" s="19"/>
      <c r="F176" s="19"/>
      <c r="G176" s="20"/>
      <c r="H176" s="3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5.75" customHeight="1" x14ac:dyDescent="0.25">
      <c r="A177" s="3"/>
      <c r="B177" s="3"/>
      <c r="C177" s="18"/>
      <c r="D177" s="18"/>
      <c r="E177" s="19"/>
      <c r="F177" s="19"/>
      <c r="G177" s="20"/>
      <c r="H177" s="3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5.75" customHeight="1" x14ac:dyDescent="0.25">
      <c r="A178" s="3"/>
      <c r="B178" s="3"/>
      <c r="C178" s="18"/>
      <c r="D178" s="18"/>
      <c r="E178" s="19"/>
      <c r="F178" s="19"/>
      <c r="G178" s="20"/>
      <c r="H178" s="3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5.75" customHeight="1" x14ac:dyDescent="0.25">
      <c r="A179" s="3"/>
      <c r="B179" s="3"/>
      <c r="C179" s="18"/>
      <c r="D179" s="18"/>
      <c r="E179" s="19"/>
      <c r="F179" s="19"/>
      <c r="G179" s="20"/>
      <c r="H179" s="3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5.75" customHeight="1" x14ac:dyDescent="0.25">
      <c r="A180" s="3"/>
      <c r="B180" s="3"/>
      <c r="C180" s="18"/>
      <c r="D180" s="18"/>
      <c r="E180" s="19"/>
      <c r="F180" s="19"/>
      <c r="G180" s="20"/>
      <c r="H180" s="3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5.75" customHeight="1" x14ac:dyDescent="0.25">
      <c r="A181" s="3"/>
      <c r="B181" s="3"/>
      <c r="C181" s="18"/>
      <c r="D181" s="18"/>
      <c r="E181" s="19"/>
      <c r="F181" s="19"/>
      <c r="G181" s="20"/>
      <c r="H181" s="3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5.75" customHeight="1" x14ac:dyDescent="0.25">
      <c r="A182" s="3"/>
      <c r="B182" s="3"/>
      <c r="C182" s="18"/>
      <c r="D182" s="18"/>
      <c r="E182" s="19"/>
      <c r="F182" s="19"/>
      <c r="G182" s="20"/>
      <c r="H182" s="3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5.75" customHeight="1" x14ac:dyDescent="0.25">
      <c r="A183" s="3"/>
      <c r="B183" s="3"/>
      <c r="C183" s="18"/>
      <c r="D183" s="18"/>
      <c r="E183" s="19"/>
      <c r="F183" s="19"/>
      <c r="G183" s="20"/>
      <c r="H183" s="3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5.75" customHeight="1" x14ac:dyDescent="0.25">
      <c r="A184" s="3"/>
      <c r="B184" s="3"/>
      <c r="C184" s="18"/>
      <c r="D184" s="18"/>
      <c r="E184" s="19"/>
      <c r="F184" s="19"/>
      <c r="G184" s="20"/>
      <c r="H184" s="3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5.75" customHeight="1" x14ac:dyDescent="0.25">
      <c r="A185" s="3"/>
      <c r="B185" s="3"/>
      <c r="C185" s="18"/>
      <c r="D185" s="18"/>
      <c r="E185" s="19"/>
      <c r="F185" s="19"/>
      <c r="G185" s="20"/>
      <c r="H185" s="3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5.75" customHeight="1" x14ac:dyDescent="0.25">
      <c r="A186" s="3"/>
      <c r="B186" s="3"/>
      <c r="C186" s="18"/>
      <c r="D186" s="18"/>
      <c r="E186" s="19"/>
      <c r="F186" s="19"/>
      <c r="G186" s="20"/>
      <c r="H186" s="3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5.75" customHeight="1" x14ac:dyDescent="0.25">
      <c r="A187" s="3"/>
      <c r="B187" s="3"/>
      <c r="C187" s="18"/>
      <c r="D187" s="18"/>
      <c r="E187" s="19"/>
      <c r="F187" s="19"/>
      <c r="G187" s="20"/>
      <c r="H187" s="3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5.75" customHeight="1" x14ac:dyDescent="0.25">
      <c r="A188" s="3"/>
      <c r="B188" s="3"/>
      <c r="C188" s="18"/>
      <c r="D188" s="18"/>
      <c r="E188" s="19"/>
      <c r="F188" s="19"/>
      <c r="G188" s="20"/>
      <c r="H188" s="3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5.75" customHeight="1" x14ac:dyDescent="0.25">
      <c r="A189" s="3"/>
      <c r="B189" s="3"/>
      <c r="C189" s="18"/>
      <c r="D189" s="18"/>
      <c r="E189" s="19"/>
      <c r="F189" s="19"/>
      <c r="G189" s="20"/>
      <c r="H189" s="3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5.75" customHeight="1" x14ac:dyDescent="0.25">
      <c r="A190" s="3"/>
      <c r="B190" s="3"/>
      <c r="C190" s="18"/>
      <c r="D190" s="18"/>
      <c r="E190" s="19"/>
      <c r="F190" s="19"/>
      <c r="G190" s="20"/>
      <c r="H190" s="3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5.75" customHeight="1" x14ac:dyDescent="0.25">
      <c r="A191" s="3"/>
      <c r="B191" s="3"/>
      <c r="C191" s="18"/>
      <c r="D191" s="18"/>
      <c r="E191" s="19"/>
      <c r="F191" s="19"/>
      <c r="G191" s="20"/>
      <c r="H191" s="3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5.75" customHeight="1" x14ac:dyDescent="0.25">
      <c r="A192" s="3"/>
      <c r="B192" s="3"/>
      <c r="C192" s="18"/>
      <c r="D192" s="18"/>
      <c r="E192" s="19"/>
      <c r="F192" s="19"/>
      <c r="G192" s="20"/>
      <c r="H192" s="3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5.75" customHeight="1" x14ac:dyDescent="0.25">
      <c r="A193" s="3"/>
      <c r="B193" s="3"/>
      <c r="C193" s="18"/>
      <c r="D193" s="18"/>
      <c r="E193" s="19"/>
      <c r="F193" s="19"/>
      <c r="G193" s="20"/>
      <c r="H193" s="3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5.75" customHeight="1" x14ac:dyDescent="0.25">
      <c r="A194" s="3"/>
      <c r="B194" s="3"/>
      <c r="C194" s="18"/>
      <c r="D194" s="18"/>
      <c r="E194" s="19"/>
      <c r="F194" s="19"/>
      <c r="G194" s="20"/>
      <c r="H194" s="3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5.75" customHeight="1" x14ac:dyDescent="0.25">
      <c r="A195" s="3"/>
      <c r="B195" s="3"/>
      <c r="C195" s="18"/>
      <c r="D195" s="18"/>
      <c r="E195" s="19"/>
      <c r="F195" s="19"/>
      <c r="G195" s="20"/>
      <c r="H195" s="3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5.75" customHeight="1" x14ac:dyDescent="0.25">
      <c r="A196" s="3"/>
      <c r="B196" s="3"/>
      <c r="C196" s="18"/>
      <c r="D196" s="18"/>
      <c r="E196" s="19"/>
      <c r="F196" s="19"/>
      <c r="G196" s="20"/>
      <c r="H196" s="3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5.75" customHeight="1" x14ac:dyDescent="0.25">
      <c r="A197" s="3"/>
      <c r="B197" s="3"/>
      <c r="C197" s="18"/>
      <c r="D197" s="18"/>
      <c r="E197" s="19"/>
      <c r="F197" s="19"/>
      <c r="G197" s="20"/>
      <c r="H197" s="3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5.75" customHeight="1" x14ac:dyDescent="0.25">
      <c r="A198" s="3"/>
      <c r="B198" s="3"/>
      <c r="C198" s="18"/>
      <c r="D198" s="18"/>
      <c r="E198" s="19"/>
      <c r="F198" s="19"/>
      <c r="G198" s="20"/>
      <c r="H198" s="3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5.75" customHeight="1" x14ac:dyDescent="0.25">
      <c r="A199" s="3"/>
      <c r="B199" s="3"/>
      <c r="C199" s="18"/>
      <c r="D199" s="18"/>
      <c r="E199" s="19"/>
      <c r="F199" s="19"/>
      <c r="G199" s="20"/>
      <c r="H199" s="3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5.75" customHeight="1" x14ac:dyDescent="0.25">
      <c r="A200" s="3"/>
      <c r="B200" s="3"/>
      <c r="C200" s="18"/>
      <c r="D200" s="18"/>
      <c r="E200" s="19"/>
      <c r="F200" s="19"/>
      <c r="G200" s="20"/>
      <c r="H200" s="3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5.75" customHeight="1" x14ac:dyDescent="0.25">
      <c r="A201" s="3"/>
      <c r="B201" s="3"/>
      <c r="C201" s="18"/>
      <c r="D201" s="18"/>
      <c r="E201" s="19"/>
      <c r="F201" s="19"/>
      <c r="G201" s="20"/>
      <c r="H201" s="3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5.75" customHeight="1" x14ac:dyDescent="0.25">
      <c r="A202" s="3"/>
      <c r="B202" s="3"/>
      <c r="C202" s="18"/>
      <c r="D202" s="18"/>
      <c r="E202" s="19"/>
      <c r="F202" s="19"/>
      <c r="G202" s="20"/>
      <c r="H202" s="3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5.75" customHeight="1" x14ac:dyDescent="0.25">
      <c r="A203" s="3"/>
      <c r="B203" s="3"/>
      <c r="C203" s="18"/>
      <c r="D203" s="18"/>
      <c r="E203" s="19"/>
      <c r="F203" s="19"/>
      <c r="G203" s="20"/>
      <c r="H203" s="3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5.75" customHeight="1" x14ac:dyDescent="0.25">
      <c r="A204" s="3"/>
      <c r="B204" s="3"/>
      <c r="C204" s="18"/>
      <c r="D204" s="18"/>
      <c r="E204" s="19"/>
      <c r="F204" s="19"/>
      <c r="G204" s="20"/>
      <c r="H204" s="3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5.75" customHeight="1" x14ac:dyDescent="0.25">
      <c r="A205" s="3"/>
      <c r="B205" s="3"/>
      <c r="C205" s="18"/>
      <c r="D205" s="18"/>
      <c r="E205" s="19"/>
      <c r="F205" s="19"/>
      <c r="G205" s="20"/>
      <c r="H205" s="3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5.75" customHeight="1" x14ac:dyDescent="0.25">
      <c r="A206" s="3"/>
      <c r="B206" s="3"/>
      <c r="C206" s="18"/>
      <c r="D206" s="18"/>
      <c r="E206" s="19"/>
      <c r="F206" s="19"/>
      <c r="G206" s="20"/>
      <c r="H206" s="3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5.75" customHeight="1" x14ac:dyDescent="0.25">
      <c r="A207" s="3"/>
      <c r="B207" s="3"/>
      <c r="C207" s="18"/>
      <c r="D207" s="18"/>
      <c r="E207" s="19"/>
      <c r="F207" s="19"/>
      <c r="G207" s="20"/>
      <c r="H207" s="3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5.75" customHeight="1" x14ac:dyDescent="0.25">
      <c r="A208" s="3"/>
      <c r="B208" s="3"/>
      <c r="C208" s="18"/>
      <c r="D208" s="18"/>
      <c r="E208" s="19"/>
      <c r="F208" s="19"/>
      <c r="G208" s="20"/>
      <c r="H208" s="3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5.75" customHeight="1" x14ac:dyDescent="0.25">
      <c r="A209" s="3"/>
      <c r="B209" s="3"/>
      <c r="C209" s="18"/>
      <c r="D209" s="18"/>
      <c r="E209" s="19"/>
      <c r="F209" s="19"/>
      <c r="G209" s="20"/>
      <c r="H209" s="3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5.75" customHeight="1" x14ac:dyDescent="0.25">
      <c r="A210" s="3"/>
      <c r="B210" s="3"/>
      <c r="C210" s="18"/>
      <c r="D210" s="18"/>
      <c r="E210" s="19"/>
      <c r="F210" s="19"/>
      <c r="G210" s="20"/>
      <c r="H210" s="3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5.75" customHeight="1" x14ac:dyDescent="0.25">
      <c r="A211" s="3"/>
      <c r="B211" s="3"/>
      <c r="C211" s="18"/>
      <c r="D211" s="18"/>
      <c r="E211" s="19"/>
      <c r="F211" s="19"/>
      <c r="G211" s="20"/>
      <c r="H211" s="3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5.75" customHeight="1" x14ac:dyDescent="0.25">
      <c r="A212" s="3"/>
      <c r="B212" s="3"/>
      <c r="C212" s="18"/>
      <c r="D212" s="18"/>
      <c r="E212" s="19"/>
      <c r="F212" s="19"/>
      <c r="G212" s="20"/>
      <c r="H212" s="3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5.75" customHeight="1" x14ac:dyDescent="0.25">
      <c r="A213" s="3"/>
      <c r="B213" s="3"/>
      <c r="C213" s="18"/>
      <c r="D213" s="18"/>
      <c r="E213" s="19"/>
      <c r="F213" s="19"/>
      <c r="G213" s="20"/>
      <c r="H213" s="3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5.75" customHeight="1" x14ac:dyDescent="0.25">
      <c r="A214" s="3"/>
      <c r="B214" s="3"/>
      <c r="C214" s="18"/>
      <c r="D214" s="18"/>
      <c r="E214" s="19"/>
      <c r="F214" s="19"/>
      <c r="G214" s="20"/>
      <c r="H214" s="3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5.75" customHeight="1" x14ac:dyDescent="0.25">
      <c r="A215" s="3"/>
      <c r="B215" s="3"/>
      <c r="C215" s="18"/>
      <c r="D215" s="18"/>
      <c r="E215" s="19"/>
      <c r="F215" s="19"/>
      <c r="G215" s="20"/>
      <c r="H215" s="3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5.75" customHeight="1" x14ac:dyDescent="0.25">
      <c r="A216" s="3"/>
      <c r="B216" s="3"/>
      <c r="C216" s="18"/>
      <c r="D216" s="18"/>
      <c r="E216" s="19"/>
      <c r="F216" s="19"/>
      <c r="G216" s="20"/>
      <c r="H216" s="3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5.75" customHeight="1" x14ac:dyDescent="0.25">
      <c r="A217" s="3"/>
      <c r="B217" s="3"/>
      <c r="C217" s="18"/>
      <c r="D217" s="18"/>
      <c r="E217" s="19"/>
      <c r="F217" s="19"/>
      <c r="G217" s="20"/>
      <c r="H217" s="3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5.75" customHeight="1" x14ac:dyDescent="0.25">
      <c r="A218" s="3"/>
      <c r="B218" s="3"/>
      <c r="C218" s="18"/>
      <c r="D218" s="18"/>
      <c r="E218" s="19"/>
      <c r="F218" s="19"/>
      <c r="G218" s="20"/>
      <c r="H218" s="3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5.75" customHeight="1" x14ac:dyDescent="0.25">
      <c r="A219" s="3"/>
      <c r="B219" s="3"/>
      <c r="C219" s="18"/>
      <c r="D219" s="18"/>
      <c r="E219" s="19"/>
      <c r="F219" s="19"/>
      <c r="G219" s="20"/>
      <c r="H219" s="3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5.75" customHeight="1" x14ac:dyDescent="0.25">
      <c r="A220" s="3"/>
      <c r="B220" s="3"/>
      <c r="C220" s="18"/>
      <c r="D220" s="18"/>
      <c r="E220" s="19"/>
      <c r="F220" s="19"/>
      <c r="G220" s="20"/>
      <c r="H220" s="3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5.75" customHeight="1" x14ac:dyDescent="0.25">
      <c r="A221" s="3"/>
      <c r="B221" s="3"/>
      <c r="C221" s="18"/>
      <c r="D221" s="18"/>
      <c r="E221" s="19"/>
      <c r="F221" s="19"/>
      <c r="G221" s="20"/>
      <c r="H221" s="3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5.75" customHeight="1" x14ac:dyDescent="0.25">
      <c r="A222" s="3"/>
      <c r="B222" s="3"/>
      <c r="C222" s="18"/>
      <c r="D222" s="18"/>
      <c r="E222" s="19"/>
      <c r="F222" s="19"/>
      <c r="G222" s="20"/>
      <c r="H222" s="3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5.75" customHeight="1" x14ac:dyDescent="0.25">
      <c r="A223" s="3"/>
      <c r="B223" s="3"/>
      <c r="C223" s="18"/>
      <c r="D223" s="18"/>
      <c r="E223" s="19"/>
      <c r="F223" s="19"/>
      <c r="G223" s="20"/>
      <c r="H223" s="3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5.75" customHeight="1" x14ac:dyDescent="0.25">
      <c r="A224" s="3"/>
      <c r="B224" s="3"/>
      <c r="C224" s="18"/>
      <c r="D224" s="18"/>
      <c r="E224" s="19"/>
      <c r="F224" s="19"/>
      <c r="G224" s="20"/>
      <c r="H224" s="3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5.75" customHeight="1" x14ac:dyDescent="0.25">
      <c r="A225" s="3"/>
      <c r="B225" s="3"/>
      <c r="C225" s="18"/>
      <c r="D225" s="18"/>
      <c r="E225" s="19"/>
      <c r="F225" s="19"/>
      <c r="G225" s="20"/>
      <c r="H225" s="3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5.75" customHeight="1" x14ac:dyDescent="0.25">
      <c r="A226" s="3"/>
      <c r="B226" s="3"/>
      <c r="C226" s="18"/>
      <c r="D226" s="18"/>
      <c r="E226" s="19"/>
      <c r="F226" s="19"/>
      <c r="G226" s="20"/>
      <c r="H226" s="3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5.75" customHeight="1" x14ac:dyDescent="0.25">
      <c r="A227" s="3"/>
      <c r="B227" s="3"/>
      <c r="C227" s="18"/>
      <c r="D227" s="18"/>
      <c r="E227" s="19"/>
      <c r="F227" s="19"/>
      <c r="G227" s="20"/>
      <c r="H227" s="3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15.75" customHeight="1" x14ac:dyDescent="0.25">
      <c r="A228" s="3"/>
      <c r="B228" s="3"/>
      <c r="C228" s="18"/>
      <c r="D228" s="18"/>
      <c r="E228" s="19"/>
      <c r="F228" s="19"/>
      <c r="G228" s="20"/>
      <c r="H228" s="3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5.75" customHeight="1" x14ac:dyDescent="0.25">
      <c r="A229" s="3"/>
      <c r="B229" s="3"/>
      <c r="C229" s="18"/>
      <c r="D229" s="18"/>
      <c r="E229" s="19"/>
      <c r="F229" s="19"/>
      <c r="G229" s="20"/>
      <c r="H229" s="3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15.75" customHeight="1" x14ac:dyDescent="0.25">
      <c r="A230" s="3"/>
      <c r="B230" s="3"/>
      <c r="C230" s="18"/>
      <c r="D230" s="18"/>
      <c r="E230" s="19"/>
      <c r="F230" s="19"/>
      <c r="G230" s="20"/>
      <c r="H230" s="3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5.75" customHeight="1" x14ac:dyDescent="0.25">
      <c r="A231" s="3"/>
      <c r="B231" s="3"/>
      <c r="C231" s="18"/>
      <c r="D231" s="18"/>
      <c r="E231" s="19"/>
      <c r="F231" s="19"/>
      <c r="G231" s="20"/>
      <c r="H231" s="3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5.75" customHeight="1" x14ac:dyDescent="0.25">
      <c r="A232" s="3"/>
      <c r="B232" s="3"/>
      <c r="C232" s="18"/>
      <c r="D232" s="18"/>
      <c r="E232" s="19"/>
      <c r="F232" s="19"/>
      <c r="G232" s="20"/>
      <c r="H232" s="3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15.75" customHeight="1" x14ac:dyDescent="0.25">
      <c r="A233" s="3"/>
      <c r="B233" s="3"/>
      <c r="C233" s="18"/>
      <c r="D233" s="18"/>
      <c r="E233" s="19"/>
      <c r="F233" s="19"/>
      <c r="G233" s="20"/>
      <c r="H233" s="3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5.75" customHeight="1" x14ac:dyDescent="0.25">
      <c r="A234" s="3"/>
      <c r="B234" s="3"/>
      <c r="C234" s="18"/>
      <c r="D234" s="18"/>
      <c r="E234" s="19"/>
      <c r="F234" s="19"/>
      <c r="G234" s="20"/>
      <c r="H234" s="3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15.75" customHeight="1" x14ac:dyDescent="0.25">
      <c r="A235" s="3"/>
      <c r="B235" s="3"/>
      <c r="C235" s="18"/>
      <c r="D235" s="18"/>
      <c r="E235" s="19"/>
      <c r="F235" s="19"/>
      <c r="G235" s="20"/>
      <c r="H235" s="3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15.75" customHeight="1" x14ac:dyDescent="0.25">
      <c r="A236" s="3"/>
      <c r="B236" s="3"/>
      <c r="C236" s="18"/>
      <c r="D236" s="18"/>
      <c r="E236" s="19"/>
      <c r="F236" s="19"/>
      <c r="G236" s="20"/>
      <c r="H236" s="3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15.75" customHeight="1" x14ac:dyDescent="0.25">
      <c r="A237" s="3"/>
      <c r="B237" s="3"/>
      <c r="C237" s="18"/>
      <c r="D237" s="18"/>
      <c r="E237" s="19"/>
      <c r="F237" s="19"/>
      <c r="G237" s="20"/>
      <c r="H237" s="3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15.75" customHeight="1" x14ac:dyDescent="0.25">
      <c r="A238" s="3"/>
      <c r="B238" s="3"/>
      <c r="C238" s="18"/>
      <c r="D238" s="18"/>
      <c r="E238" s="19"/>
      <c r="F238" s="19"/>
      <c r="G238" s="20"/>
      <c r="H238" s="3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5.75" customHeight="1" x14ac:dyDescent="0.25">
      <c r="A239" s="3"/>
      <c r="B239" s="3"/>
      <c r="C239" s="18"/>
      <c r="D239" s="18"/>
      <c r="E239" s="19"/>
      <c r="F239" s="19"/>
      <c r="G239" s="20"/>
      <c r="H239" s="3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5.75" customHeight="1" x14ac:dyDescent="0.25">
      <c r="A240" s="3"/>
      <c r="B240" s="3"/>
      <c r="C240" s="18"/>
      <c r="D240" s="18"/>
      <c r="E240" s="19"/>
      <c r="F240" s="19"/>
      <c r="G240" s="20"/>
      <c r="H240" s="3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15.75" customHeight="1" x14ac:dyDescent="0.25">
      <c r="A241" s="3"/>
      <c r="B241" s="3"/>
      <c r="C241" s="18"/>
      <c r="D241" s="18"/>
      <c r="E241" s="19"/>
      <c r="F241" s="19"/>
      <c r="G241" s="20"/>
      <c r="H241" s="3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15.75" customHeight="1" x14ac:dyDescent="0.25">
      <c r="A242" s="3"/>
      <c r="B242" s="3"/>
      <c r="C242" s="18"/>
      <c r="D242" s="18"/>
      <c r="E242" s="19"/>
      <c r="F242" s="19"/>
      <c r="G242" s="20"/>
      <c r="H242" s="3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15.75" customHeight="1" x14ac:dyDescent="0.25">
      <c r="A243" s="3"/>
      <c r="B243" s="3"/>
      <c r="C243" s="18"/>
      <c r="D243" s="18"/>
      <c r="E243" s="19"/>
      <c r="F243" s="19"/>
      <c r="G243" s="20"/>
      <c r="H243" s="3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15.75" customHeight="1" x14ac:dyDescent="0.25">
      <c r="A244" s="3"/>
      <c r="B244" s="3"/>
      <c r="C244" s="18"/>
      <c r="D244" s="18"/>
      <c r="E244" s="19"/>
      <c r="F244" s="19"/>
      <c r="G244" s="20"/>
      <c r="H244" s="3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15.75" customHeight="1" x14ac:dyDescent="0.25">
      <c r="A245" s="3"/>
      <c r="B245" s="3"/>
      <c r="C245" s="18"/>
      <c r="D245" s="18"/>
      <c r="E245" s="19"/>
      <c r="F245" s="19"/>
      <c r="G245" s="20"/>
      <c r="H245" s="3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15.75" customHeight="1" x14ac:dyDescent="0.25">
      <c r="A246" s="3"/>
      <c r="B246" s="3"/>
      <c r="C246" s="18"/>
      <c r="D246" s="18"/>
      <c r="E246" s="19"/>
      <c r="F246" s="19"/>
      <c r="G246" s="20"/>
      <c r="H246" s="3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15.75" customHeight="1" x14ac:dyDescent="0.25">
      <c r="A247" s="3"/>
      <c r="B247" s="3"/>
      <c r="C247" s="18"/>
      <c r="D247" s="18"/>
      <c r="E247" s="19"/>
      <c r="F247" s="19"/>
      <c r="G247" s="20"/>
      <c r="H247" s="3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15.75" customHeight="1" x14ac:dyDescent="0.25">
      <c r="A248" s="3"/>
      <c r="B248" s="3"/>
      <c r="C248" s="18"/>
      <c r="D248" s="18"/>
      <c r="E248" s="19"/>
      <c r="F248" s="19"/>
      <c r="G248" s="20"/>
      <c r="H248" s="3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15.75" customHeight="1" x14ac:dyDescent="0.25">
      <c r="A249" s="3"/>
      <c r="B249" s="3"/>
      <c r="C249" s="18"/>
      <c r="D249" s="18"/>
      <c r="E249" s="19"/>
      <c r="F249" s="19"/>
      <c r="G249" s="20"/>
      <c r="H249" s="3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15.75" customHeight="1" x14ac:dyDescent="0.25">
      <c r="A250" s="3"/>
      <c r="B250" s="3"/>
      <c r="C250" s="18"/>
      <c r="D250" s="18"/>
      <c r="E250" s="19"/>
      <c r="F250" s="19"/>
      <c r="G250" s="20"/>
      <c r="H250" s="3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5.75" customHeight="1" x14ac:dyDescent="0.25">
      <c r="A251" s="3"/>
      <c r="B251" s="3"/>
      <c r="C251" s="18"/>
      <c r="D251" s="18"/>
      <c r="E251" s="19"/>
      <c r="F251" s="19"/>
      <c r="G251" s="20"/>
      <c r="H251" s="3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15.75" customHeight="1" x14ac:dyDescent="0.25">
      <c r="A252" s="3"/>
      <c r="B252" s="3"/>
      <c r="C252" s="18"/>
      <c r="D252" s="18"/>
      <c r="E252" s="19"/>
      <c r="F252" s="19"/>
      <c r="G252" s="20"/>
      <c r="H252" s="3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5.75" customHeight="1" x14ac:dyDescent="0.25">
      <c r="A253" s="3"/>
      <c r="B253" s="3"/>
      <c r="C253" s="18"/>
      <c r="D253" s="18"/>
      <c r="E253" s="19"/>
      <c r="F253" s="19"/>
      <c r="G253" s="20"/>
      <c r="H253" s="3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5.75" customHeight="1" x14ac:dyDescent="0.25">
      <c r="A254" s="3"/>
      <c r="B254" s="3"/>
      <c r="C254" s="18"/>
      <c r="D254" s="18"/>
      <c r="E254" s="19"/>
      <c r="F254" s="19"/>
      <c r="G254" s="20"/>
      <c r="H254" s="3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5.75" customHeight="1" x14ac:dyDescent="0.25">
      <c r="A255" s="3"/>
      <c r="B255" s="3"/>
      <c r="C255" s="18"/>
      <c r="D255" s="18"/>
      <c r="E255" s="19"/>
      <c r="F255" s="19"/>
      <c r="G255" s="20"/>
      <c r="H255" s="3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5.75" customHeight="1" x14ac:dyDescent="0.25">
      <c r="A256" s="3"/>
      <c r="B256" s="3"/>
      <c r="C256" s="18"/>
      <c r="D256" s="18"/>
      <c r="E256" s="19"/>
      <c r="F256" s="19"/>
      <c r="G256" s="20"/>
      <c r="H256" s="3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15.75" customHeight="1" x14ac:dyDescent="0.25">
      <c r="A257" s="3"/>
      <c r="B257" s="3"/>
      <c r="C257" s="18"/>
      <c r="D257" s="18"/>
      <c r="E257" s="19"/>
      <c r="F257" s="19"/>
      <c r="G257" s="20"/>
      <c r="H257" s="3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15.75" customHeight="1" x14ac:dyDescent="0.25">
      <c r="A258" s="3"/>
      <c r="B258" s="3"/>
      <c r="C258" s="18"/>
      <c r="D258" s="18"/>
      <c r="E258" s="19"/>
      <c r="F258" s="19"/>
      <c r="G258" s="20"/>
      <c r="H258" s="3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15.75" customHeight="1" x14ac:dyDescent="0.25">
      <c r="A259" s="3"/>
      <c r="B259" s="3"/>
      <c r="C259" s="18"/>
      <c r="D259" s="18"/>
      <c r="E259" s="19"/>
      <c r="F259" s="19"/>
      <c r="G259" s="20"/>
      <c r="H259" s="3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15.75" customHeight="1" x14ac:dyDescent="0.25">
      <c r="A260" s="3"/>
      <c r="B260" s="3"/>
      <c r="C260" s="18"/>
      <c r="D260" s="18"/>
      <c r="E260" s="19"/>
      <c r="F260" s="19"/>
      <c r="G260" s="20"/>
      <c r="H260" s="3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5.75" customHeight="1" x14ac:dyDescent="0.25">
      <c r="A261" s="3"/>
      <c r="B261" s="3"/>
      <c r="C261" s="18"/>
      <c r="D261" s="18"/>
      <c r="E261" s="19"/>
      <c r="F261" s="19"/>
      <c r="G261" s="20"/>
      <c r="H261" s="3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5.75" customHeight="1" x14ac:dyDescent="0.25">
      <c r="A262" s="3"/>
      <c r="B262" s="3"/>
      <c r="C262" s="18"/>
      <c r="D262" s="18"/>
      <c r="E262" s="19"/>
      <c r="F262" s="19"/>
      <c r="G262" s="20"/>
      <c r="H262" s="3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15.75" customHeight="1" x14ac:dyDescent="0.25">
      <c r="A263" s="3"/>
      <c r="B263" s="3"/>
      <c r="C263" s="18"/>
      <c r="D263" s="18"/>
      <c r="E263" s="19"/>
      <c r="F263" s="19"/>
      <c r="G263" s="20"/>
      <c r="H263" s="3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5.75" customHeight="1" x14ac:dyDescent="0.25">
      <c r="A264" s="3"/>
      <c r="B264" s="3"/>
      <c r="C264" s="18"/>
      <c r="D264" s="18"/>
      <c r="E264" s="19"/>
      <c r="F264" s="19"/>
      <c r="G264" s="20"/>
      <c r="H264" s="3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15.75" customHeight="1" x14ac:dyDescent="0.25">
      <c r="A265" s="3"/>
      <c r="B265" s="3"/>
      <c r="C265" s="18"/>
      <c r="D265" s="18"/>
      <c r="E265" s="19"/>
      <c r="F265" s="19"/>
      <c r="G265" s="20"/>
      <c r="H265" s="3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15.75" customHeight="1" x14ac:dyDescent="0.25">
      <c r="A266" s="3"/>
      <c r="B266" s="3"/>
      <c r="C266" s="18"/>
      <c r="D266" s="18"/>
      <c r="E266" s="19"/>
      <c r="F266" s="19"/>
      <c r="G266" s="20"/>
      <c r="H266" s="3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15.75" customHeight="1" x14ac:dyDescent="0.25">
      <c r="A267" s="3"/>
      <c r="B267" s="3"/>
      <c r="C267" s="18"/>
      <c r="D267" s="18"/>
      <c r="E267" s="19"/>
      <c r="F267" s="19"/>
      <c r="G267" s="20"/>
      <c r="H267" s="3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15.75" customHeight="1" x14ac:dyDescent="0.25">
      <c r="A268" s="3"/>
      <c r="B268" s="3"/>
      <c r="C268" s="18"/>
      <c r="D268" s="18"/>
      <c r="E268" s="19"/>
      <c r="F268" s="19"/>
      <c r="G268" s="20"/>
      <c r="H268" s="3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15.75" customHeight="1" x14ac:dyDescent="0.25">
      <c r="A269" s="3"/>
      <c r="B269" s="3"/>
      <c r="C269" s="18"/>
      <c r="D269" s="18"/>
      <c r="E269" s="19"/>
      <c r="F269" s="19"/>
      <c r="G269" s="20"/>
      <c r="H269" s="3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5.75" customHeight="1" x14ac:dyDescent="0.25">
      <c r="A270" s="3"/>
      <c r="B270" s="3"/>
      <c r="C270" s="18"/>
      <c r="D270" s="18"/>
      <c r="E270" s="19"/>
      <c r="F270" s="19"/>
      <c r="G270" s="20"/>
      <c r="H270" s="3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15.75" customHeight="1" x14ac:dyDescent="0.25">
      <c r="A271" s="3"/>
      <c r="B271" s="3"/>
      <c r="C271" s="18"/>
      <c r="D271" s="18"/>
      <c r="E271" s="19"/>
      <c r="F271" s="19"/>
      <c r="G271" s="20"/>
      <c r="H271" s="3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15.75" customHeight="1" x14ac:dyDescent="0.25">
      <c r="A272" s="3"/>
      <c r="B272" s="3"/>
      <c r="C272" s="18"/>
      <c r="D272" s="18"/>
      <c r="E272" s="19"/>
      <c r="F272" s="19"/>
      <c r="G272" s="20"/>
      <c r="H272" s="3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15.75" customHeight="1" x14ac:dyDescent="0.25">
      <c r="A273" s="3"/>
      <c r="B273" s="3"/>
      <c r="C273" s="18"/>
      <c r="D273" s="18"/>
      <c r="E273" s="19"/>
      <c r="F273" s="19"/>
      <c r="G273" s="20"/>
      <c r="H273" s="3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15.75" customHeight="1" x14ac:dyDescent="0.25">
      <c r="A274" s="3"/>
      <c r="B274" s="3"/>
      <c r="C274" s="18"/>
      <c r="D274" s="18"/>
      <c r="E274" s="19"/>
      <c r="F274" s="19"/>
      <c r="G274" s="20"/>
      <c r="H274" s="3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15.75" customHeight="1" x14ac:dyDescent="0.25">
      <c r="A275" s="3"/>
      <c r="B275" s="3"/>
      <c r="C275" s="18"/>
      <c r="D275" s="18"/>
      <c r="E275" s="19"/>
      <c r="F275" s="19"/>
      <c r="G275" s="20"/>
      <c r="H275" s="3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15.75" customHeight="1" x14ac:dyDescent="0.25">
      <c r="A276" s="3"/>
      <c r="B276" s="3"/>
      <c r="C276" s="18"/>
      <c r="D276" s="18"/>
      <c r="E276" s="19"/>
      <c r="F276" s="19"/>
      <c r="G276" s="20"/>
      <c r="H276" s="3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15.75" customHeight="1" x14ac:dyDescent="0.25">
      <c r="A277" s="3"/>
      <c r="B277" s="3"/>
      <c r="C277" s="18"/>
      <c r="D277" s="18"/>
      <c r="E277" s="19"/>
      <c r="F277" s="19"/>
      <c r="G277" s="20"/>
      <c r="H277" s="3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15.75" customHeight="1" x14ac:dyDescent="0.25">
      <c r="A278" s="3"/>
      <c r="B278" s="3"/>
      <c r="C278" s="18"/>
      <c r="D278" s="18"/>
      <c r="E278" s="19"/>
      <c r="F278" s="19"/>
      <c r="G278" s="20"/>
      <c r="H278" s="3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15.75" customHeight="1" x14ac:dyDescent="0.25">
      <c r="A279" s="3"/>
      <c r="B279" s="3"/>
      <c r="C279" s="18"/>
      <c r="D279" s="18"/>
      <c r="E279" s="19"/>
      <c r="F279" s="19"/>
      <c r="G279" s="20"/>
      <c r="H279" s="3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15.75" customHeight="1" x14ac:dyDescent="0.25">
      <c r="A280" s="3"/>
      <c r="B280" s="3"/>
      <c r="C280" s="18"/>
      <c r="D280" s="18"/>
      <c r="E280" s="19"/>
      <c r="F280" s="19"/>
      <c r="G280" s="20"/>
      <c r="H280" s="3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5.75" customHeight="1" x14ac:dyDescent="0.25">
      <c r="A281" s="3"/>
      <c r="B281" s="3"/>
      <c r="C281" s="18"/>
      <c r="D281" s="18"/>
      <c r="E281" s="19"/>
      <c r="F281" s="19"/>
      <c r="G281" s="20"/>
      <c r="H281" s="3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15.75" customHeight="1" x14ac:dyDescent="0.25">
      <c r="A282" s="3"/>
      <c r="B282" s="3"/>
      <c r="C282" s="18"/>
      <c r="D282" s="18"/>
      <c r="E282" s="19"/>
      <c r="F282" s="19"/>
      <c r="G282" s="20"/>
      <c r="H282" s="3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5.75" customHeight="1" x14ac:dyDescent="0.25">
      <c r="A283" s="3"/>
      <c r="B283" s="3"/>
      <c r="C283" s="18"/>
      <c r="D283" s="18"/>
      <c r="E283" s="19"/>
      <c r="F283" s="19"/>
      <c r="G283" s="20"/>
      <c r="H283" s="3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5.75" customHeight="1" x14ac:dyDescent="0.25">
      <c r="A284" s="3"/>
      <c r="B284" s="3"/>
      <c r="C284" s="18"/>
      <c r="D284" s="18"/>
      <c r="E284" s="19"/>
      <c r="F284" s="19"/>
      <c r="G284" s="20"/>
      <c r="H284" s="3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5.75" customHeight="1" x14ac:dyDescent="0.25">
      <c r="A285" s="3"/>
      <c r="B285" s="3"/>
      <c r="C285" s="18"/>
      <c r="D285" s="18"/>
      <c r="E285" s="19"/>
      <c r="F285" s="19"/>
      <c r="G285" s="20"/>
      <c r="H285" s="3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5.75" customHeight="1" x14ac:dyDescent="0.25">
      <c r="A286" s="3"/>
      <c r="B286" s="3"/>
      <c r="C286" s="18"/>
      <c r="D286" s="18"/>
      <c r="E286" s="19"/>
      <c r="F286" s="19"/>
      <c r="G286" s="20"/>
      <c r="H286" s="3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15.75" customHeight="1" x14ac:dyDescent="0.25">
      <c r="A287" s="3"/>
      <c r="B287" s="3"/>
      <c r="C287" s="18"/>
      <c r="D287" s="18"/>
      <c r="E287" s="19"/>
      <c r="F287" s="19"/>
      <c r="G287" s="20"/>
      <c r="H287" s="3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15.75" customHeight="1" x14ac:dyDescent="0.25">
      <c r="A288" s="3"/>
      <c r="B288" s="3"/>
      <c r="C288" s="18"/>
      <c r="D288" s="18"/>
      <c r="E288" s="19"/>
      <c r="F288" s="19"/>
      <c r="G288" s="20"/>
      <c r="H288" s="3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15.75" customHeight="1" x14ac:dyDescent="0.25">
      <c r="A289" s="3"/>
      <c r="B289" s="3"/>
      <c r="C289" s="18"/>
      <c r="D289" s="18"/>
      <c r="E289" s="19"/>
      <c r="F289" s="19"/>
      <c r="G289" s="20"/>
      <c r="H289" s="3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15.75" customHeight="1" x14ac:dyDescent="0.25">
      <c r="A290" s="3"/>
      <c r="B290" s="3"/>
      <c r="C290" s="18"/>
      <c r="D290" s="18"/>
      <c r="E290" s="19"/>
      <c r="F290" s="19"/>
      <c r="G290" s="20"/>
      <c r="H290" s="3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5.75" customHeight="1" x14ac:dyDescent="0.25">
      <c r="A291" s="3"/>
      <c r="B291" s="3"/>
      <c r="C291" s="18"/>
      <c r="D291" s="18"/>
      <c r="E291" s="19"/>
      <c r="F291" s="19"/>
      <c r="G291" s="20"/>
      <c r="H291" s="3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5.75" customHeight="1" x14ac:dyDescent="0.25">
      <c r="A292" s="3"/>
      <c r="B292" s="3"/>
      <c r="C292" s="18"/>
      <c r="D292" s="18"/>
      <c r="E292" s="19"/>
      <c r="F292" s="19"/>
      <c r="G292" s="20"/>
      <c r="H292" s="3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15.75" customHeight="1" x14ac:dyDescent="0.25">
      <c r="A293" s="3"/>
      <c r="B293" s="3"/>
      <c r="C293" s="18"/>
      <c r="D293" s="18"/>
      <c r="E293" s="19"/>
      <c r="F293" s="19"/>
      <c r="G293" s="20"/>
      <c r="H293" s="3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5.75" customHeight="1" x14ac:dyDescent="0.25">
      <c r="A294" s="3"/>
      <c r="B294" s="3"/>
      <c r="C294" s="18"/>
      <c r="D294" s="18"/>
      <c r="E294" s="19"/>
      <c r="F294" s="19"/>
      <c r="G294" s="20"/>
      <c r="H294" s="3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15.75" customHeight="1" x14ac:dyDescent="0.25">
      <c r="A295" s="3"/>
      <c r="B295" s="3"/>
      <c r="C295" s="18"/>
      <c r="D295" s="18"/>
      <c r="E295" s="19"/>
      <c r="F295" s="19"/>
      <c r="G295" s="20"/>
      <c r="H295" s="3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15.75" customHeight="1" x14ac:dyDescent="0.25">
      <c r="A296" s="3"/>
      <c r="B296" s="3"/>
      <c r="C296" s="18"/>
      <c r="D296" s="18"/>
      <c r="E296" s="19"/>
      <c r="F296" s="19"/>
      <c r="G296" s="20"/>
      <c r="H296" s="3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15.75" customHeight="1" x14ac:dyDescent="0.25">
      <c r="A297" s="3"/>
      <c r="B297" s="3"/>
      <c r="C297" s="18"/>
      <c r="D297" s="18"/>
      <c r="E297" s="19"/>
      <c r="F297" s="19"/>
      <c r="G297" s="20"/>
      <c r="H297" s="3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15.75" customHeight="1" x14ac:dyDescent="0.25">
      <c r="A298" s="3"/>
      <c r="B298" s="3"/>
      <c r="C298" s="18"/>
      <c r="D298" s="18"/>
      <c r="E298" s="19"/>
      <c r="F298" s="19"/>
      <c r="G298" s="20"/>
      <c r="H298" s="3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15.75" customHeight="1" x14ac:dyDescent="0.25">
      <c r="A299" s="3"/>
      <c r="B299" s="3"/>
      <c r="C299" s="18"/>
      <c r="D299" s="18"/>
      <c r="E299" s="19"/>
      <c r="F299" s="19"/>
      <c r="G299" s="20"/>
      <c r="H299" s="3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5.75" customHeight="1" x14ac:dyDescent="0.25">
      <c r="A300" s="3"/>
      <c r="B300" s="3"/>
      <c r="C300" s="18"/>
      <c r="D300" s="18"/>
      <c r="E300" s="19"/>
      <c r="F300" s="19"/>
      <c r="G300" s="20"/>
      <c r="H300" s="3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15.75" customHeight="1" x14ac:dyDescent="0.25">
      <c r="A301" s="3"/>
      <c r="B301" s="3"/>
      <c r="C301" s="18"/>
      <c r="D301" s="18"/>
      <c r="E301" s="19"/>
      <c r="F301" s="19"/>
      <c r="G301" s="20"/>
      <c r="H301" s="3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15.75" customHeight="1" x14ac:dyDescent="0.25">
      <c r="A302" s="3"/>
      <c r="B302" s="3"/>
      <c r="C302" s="18"/>
      <c r="D302" s="18"/>
      <c r="E302" s="19"/>
      <c r="F302" s="19"/>
      <c r="G302" s="20"/>
      <c r="H302" s="3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15.75" customHeight="1" x14ac:dyDescent="0.25">
      <c r="A303" s="3"/>
      <c r="B303" s="3"/>
      <c r="C303" s="18"/>
      <c r="D303" s="18"/>
      <c r="E303" s="19"/>
      <c r="F303" s="19"/>
      <c r="G303" s="20"/>
      <c r="H303" s="3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15.75" customHeight="1" x14ac:dyDescent="0.25">
      <c r="A304" s="3"/>
      <c r="B304" s="3"/>
      <c r="C304" s="18"/>
      <c r="D304" s="18"/>
      <c r="E304" s="19"/>
      <c r="F304" s="19"/>
      <c r="G304" s="20"/>
      <c r="H304" s="3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15.75" customHeight="1" x14ac:dyDescent="0.25">
      <c r="A305" s="3"/>
      <c r="B305" s="3"/>
      <c r="C305" s="18"/>
      <c r="D305" s="18"/>
      <c r="E305" s="19"/>
      <c r="F305" s="19"/>
      <c r="G305" s="20"/>
      <c r="H305" s="3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15.75" customHeight="1" x14ac:dyDescent="0.25">
      <c r="A306" s="3"/>
      <c r="B306" s="3"/>
      <c r="C306" s="18"/>
      <c r="D306" s="18"/>
      <c r="E306" s="19"/>
      <c r="F306" s="19"/>
      <c r="G306" s="20"/>
      <c r="H306" s="3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15.75" customHeight="1" x14ac:dyDescent="0.25">
      <c r="A307" s="3"/>
      <c r="B307" s="3"/>
      <c r="C307" s="18"/>
      <c r="D307" s="18"/>
      <c r="E307" s="19"/>
      <c r="F307" s="19"/>
      <c r="G307" s="20"/>
      <c r="H307" s="3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15.75" customHeight="1" x14ac:dyDescent="0.25">
      <c r="A308" s="3"/>
      <c r="B308" s="3"/>
      <c r="C308" s="18"/>
      <c r="D308" s="18"/>
      <c r="E308" s="19"/>
      <c r="F308" s="19"/>
      <c r="G308" s="20"/>
      <c r="H308" s="3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15.75" customHeight="1" x14ac:dyDescent="0.25">
      <c r="A309" s="3"/>
      <c r="B309" s="3"/>
      <c r="C309" s="18"/>
      <c r="D309" s="18"/>
      <c r="E309" s="19"/>
      <c r="F309" s="19"/>
      <c r="G309" s="20"/>
      <c r="H309" s="3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15.75" customHeight="1" x14ac:dyDescent="0.25">
      <c r="A310" s="3"/>
      <c r="B310" s="3"/>
      <c r="C310" s="18"/>
      <c r="D310" s="18"/>
      <c r="E310" s="19"/>
      <c r="F310" s="19"/>
      <c r="G310" s="20"/>
      <c r="H310" s="3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5.75" customHeight="1" x14ac:dyDescent="0.25">
      <c r="A311" s="3"/>
      <c r="B311" s="3"/>
      <c r="C311" s="18"/>
      <c r="D311" s="18"/>
      <c r="E311" s="19"/>
      <c r="F311" s="19"/>
      <c r="G311" s="20"/>
      <c r="H311" s="3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15.75" customHeight="1" x14ac:dyDescent="0.25">
      <c r="A312" s="3"/>
      <c r="B312" s="3"/>
      <c r="C312" s="18"/>
      <c r="D312" s="18"/>
      <c r="E312" s="19"/>
      <c r="F312" s="19"/>
      <c r="G312" s="20"/>
      <c r="H312" s="3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5.75" customHeight="1" x14ac:dyDescent="0.25">
      <c r="A313" s="3"/>
      <c r="B313" s="3"/>
      <c r="C313" s="18"/>
      <c r="D313" s="18"/>
      <c r="E313" s="19"/>
      <c r="F313" s="19"/>
      <c r="G313" s="20"/>
      <c r="H313" s="3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5.75" customHeight="1" x14ac:dyDescent="0.25">
      <c r="A314" s="3"/>
      <c r="B314" s="3"/>
      <c r="C314" s="18"/>
      <c r="D314" s="18"/>
      <c r="E314" s="19"/>
      <c r="F314" s="19"/>
      <c r="G314" s="20"/>
      <c r="H314" s="3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5.75" customHeight="1" x14ac:dyDescent="0.25">
      <c r="A315" s="3"/>
      <c r="B315" s="3"/>
      <c r="C315" s="18"/>
      <c r="D315" s="18"/>
      <c r="E315" s="19"/>
      <c r="F315" s="19"/>
      <c r="G315" s="20"/>
      <c r="H315" s="3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5.75" customHeight="1" x14ac:dyDescent="0.25">
      <c r="A316" s="3"/>
      <c r="B316" s="3"/>
      <c r="C316" s="18"/>
      <c r="D316" s="18"/>
      <c r="E316" s="19"/>
      <c r="F316" s="19"/>
      <c r="G316" s="20"/>
      <c r="H316" s="3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15.75" customHeight="1" x14ac:dyDescent="0.25">
      <c r="A317" s="3"/>
      <c r="B317" s="3"/>
      <c r="C317" s="18"/>
      <c r="D317" s="18"/>
      <c r="E317" s="19"/>
      <c r="F317" s="19"/>
      <c r="G317" s="20"/>
      <c r="H317" s="3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15.75" customHeight="1" x14ac:dyDescent="0.25">
      <c r="A318" s="3"/>
      <c r="B318" s="3"/>
      <c r="C318" s="18"/>
      <c r="D318" s="18"/>
      <c r="E318" s="19"/>
      <c r="F318" s="19"/>
      <c r="G318" s="20"/>
      <c r="H318" s="3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15.75" customHeight="1" x14ac:dyDescent="0.25">
      <c r="A319" s="3"/>
      <c r="B319" s="3"/>
      <c r="C319" s="18"/>
      <c r="D319" s="18"/>
      <c r="E319" s="19"/>
      <c r="F319" s="19"/>
      <c r="G319" s="20"/>
      <c r="H319" s="3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15.75" customHeight="1" x14ac:dyDescent="0.25">
      <c r="A320" s="3"/>
      <c r="B320" s="3"/>
      <c r="C320" s="18"/>
      <c r="D320" s="18"/>
      <c r="E320" s="19"/>
      <c r="F320" s="19"/>
      <c r="G320" s="20"/>
      <c r="H320" s="3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5.75" customHeight="1" x14ac:dyDescent="0.25">
      <c r="A321" s="3"/>
      <c r="B321" s="3"/>
      <c r="C321" s="18"/>
      <c r="D321" s="18"/>
      <c r="E321" s="19"/>
      <c r="F321" s="19"/>
      <c r="G321" s="20"/>
      <c r="H321" s="3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5.75" customHeight="1" x14ac:dyDescent="0.25">
      <c r="A322" s="3"/>
      <c r="B322" s="3"/>
      <c r="C322" s="18"/>
      <c r="D322" s="18"/>
      <c r="E322" s="19"/>
      <c r="F322" s="19"/>
      <c r="G322" s="20"/>
      <c r="H322" s="3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15.75" customHeight="1" x14ac:dyDescent="0.25">
      <c r="A323" s="3"/>
      <c r="B323" s="3"/>
      <c r="C323" s="18"/>
      <c r="D323" s="18"/>
      <c r="E323" s="19"/>
      <c r="F323" s="19"/>
      <c r="G323" s="20"/>
      <c r="H323" s="3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5.75" customHeight="1" x14ac:dyDescent="0.25">
      <c r="A324" s="3"/>
      <c r="B324" s="3"/>
      <c r="C324" s="18"/>
      <c r="D324" s="18"/>
      <c r="E324" s="19"/>
      <c r="F324" s="19"/>
      <c r="G324" s="20"/>
      <c r="H324" s="3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15.75" customHeight="1" x14ac:dyDescent="0.25">
      <c r="A325" s="3"/>
      <c r="B325" s="3"/>
      <c r="C325" s="18"/>
      <c r="D325" s="18"/>
      <c r="E325" s="19"/>
      <c r="F325" s="19"/>
      <c r="G325" s="20"/>
      <c r="H325" s="3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15.75" customHeight="1" x14ac:dyDescent="0.25">
      <c r="A326" s="3"/>
      <c r="B326" s="3"/>
      <c r="C326" s="18"/>
      <c r="D326" s="18"/>
      <c r="E326" s="19"/>
      <c r="F326" s="19"/>
      <c r="G326" s="20"/>
      <c r="H326" s="3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15.75" customHeight="1" x14ac:dyDescent="0.25">
      <c r="A327" s="3"/>
      <c r="B327" s="3"/>
      <c r="C327" s="18"/>
      <c r="D327" s="18"/>
      <c r="E327" s="19"/>
      <c r="F327" s="19"/>
      <c r="G327" s="20"/>
      <c r="H327" s="3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15.75" customHeight="1" x14ac:dyDescent="0.25">
      <c r="A328" s="3"/>
      <c r="B328" s="3"/>
      <c r="C328" s="18"/>
      <c r="D328" s="18"/>
      <c r="E328" s="19"/>
      <c r="F328" s="19"/>
      <c r="G328" s="20"/>
      <c r="H328" s="3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15.75" customHeight="1" x14ac:dyDescent="0.25">
      <c r="A329" s="3"/>
      <c r="B329" s="3"/>
      <c r="C329" s="18"/>
      <c r="D329" s="18"/>
      <c r="E329" s="19"/>
      <c r="F329" s="19"/>
      <c r="G329" s="20"/>
      <c r="H329" s="3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5.75" customHeight="1" x14ac:dyDescent="0.25">
      <c r="A330" s="3"/>
      <c r="B330" s="3"/>
      <c r="C330" s="18"/>
      <c r="D330" s="18"/>
      <c r="E330" s="19"/>
      <c r="F330" s="19"/>
      <c r="G330" s="20"/>
      <c r="H330" s="3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15.75" customHeight="1" x14ac:dyDescent="0.25">
      <c r="A331" s="3"/>
      <c r="B331" s="3"/>
      <c r="C331" s="18"/>
      <c r="D331" s="18"/>
      <c r="E331" s="19"/>
      <c r="F331" s="19"/>
      <c r="G331" s="20"/>
      <c r="H331" s="3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15.75" customHeight="1" x14ac:dyDescent="0.25">
      <c r="A332" s="3"/>
      <c r="B332" s="3"/>
      <c r="C332" s="18"/>
      <c r="D332" s="18"/>
      <c r="E332" s="19"/>
      <c r="F332" s="19"/>
      <c r="G332" s="20"/>
      <c r="H332" s="3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15.75" customHeight="1" x14ac:dyDescent="0.25">
      <c r="A333" s="3"/>
      <c r="B333" s="3"/>
      <c r="C333" s="18"/>
      <c r="D333" s="18"/>
      <c r="E333" s="19"/>
      <c r="F333" s="19"/>
      <c r="G333" s="20"/>
      <c r="H333" s="3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15.75" customHeight="1" x14ac:dyDescent="0.25">
      <c r="A334" s="3"/>
      <c r="B334" s="3"/>
      <c r="C334" s="18"/>
      <c r="D334" s="18"/>
      <c r="E334" s="19"/>
      <c r="F334" s="19"/>
      <c r="G334" s="20"/>
      <c r="H334" s="3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15.75" customHeight="1" x14ac:dyDescent="0.25">
      <c r="A335" s="3"/>
      <c r="B335" s="3"/>
      <c r="C335" s="18"/>
      <c r="D335" s="18"/>
      <c r="E335" s="19"/>
      <c r="F335" s="19"/>
      <c r="G335" s="20"/>
      <c r="H335" s="3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15.75" customHeight="1" x14ac:dyDescent="0.25">
      <c r="A336" s="3"/>
      <c r="B336" s="3"/>
      <c r="C336" s="18"/>
      <c r="D336" s="18"/>
      <c r="E336" s="19"/>
      <c r="F336" s="19"/>
      <c r="G336" s="20"/>
      <c r="H336" s="3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15.75" customHeight="1" x14ac:dyDescent="0.25">
      <c r="A337" s="3"/>
      <c r="B337" s="3"/>
      <c r="C337" s="18"/>
      <c r="D337" s="18"/>
      <c r="E337" s="19"/>
      <c r="F337" s="19"/>
      <c r="G337" s="20"/>
      <c r="H337" s="3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15.75" customHeight="1" x14ac:dyDescent="0.25">
      <c r="A338" s="3"/>
      <c r="B338" s="3"/>
      <c r="C338" s="18"/>
      <c r="D338" s="18"/>
      <c r="E338" s="19"/>
      <c r="F338" s="19"/>
      <c r="G338" s="20"/>
      <c r="H338" s="3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15.75" customHeight="1" x14ac:dyDescent="0.25">
      <c r="A339" s="3"/>
      <c r="B339" s="3"/>
      <c r="C339" s="18"/>
      <c r="D339" s="18"/>
      <c r="E339" s="19"/>
      <c r="F339" s="19"/>
      <c r="G339" s="20"/>
      <c r="H339" s="3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15.75" customHeight="1" x14ac:dyDescent="0.25">
      <c r="A340" s="3"/>
      <c r="B340" s="3"/>
      <c r="C340" s="18"/>
      <c r="D340" s="18"/>
      <c r="E340" s="19"/>
      <c r="F340" s="19"/>
      <c r="G340" s="20"/>
      <c r="H340" s="3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5.75" customHeight="1" x14ac:dyDescent="0.25">
      <c r="A341" s="3"/>
      <c r="B341" s="3"/>
      <c r="C341" s="18"/>
      <c r="D341" s="18"/>
      <c r="E341" s="19"/>
      <c r="F341" s="19"/>
      <c r="G341" s="20"/>
      <c r="H341" s="3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15.75" customHeight="1" x14ac:dyDescent="0.25">
      <c r="A342" s="3"/>
      <c r="B342" s="3"/>
      <c r="C342" s="18"/>
      <c r="D342" s="18"/>
      <c r="E342" s="19"/>
      <c r="F342" s="19"/>
      <c r="G342" s="20"/>
      <c r="H342" s="3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5.75" customHeight="1" x14ac:dyDescent="0.25">
      <c r="A343" s="3"/>
      <c r="B343" s="3"/>
      <c r="C343" s="18"/>
      <c r="D343" s="18"/>
      <c r="E343" s="19"/>
      <c r="F343" s="19"/>
      <c r="G343" s="20"/>
      <c r="H343" s="3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5.75" customHeight="1" x14ac:dyDescent="0.25">
      <c r="A344" s="3"/>
      <c r="B344" s="3"/>
      <c r="C344" s="18"/>
      <c r="D344" s="18"/>
      <c r="E344" s="19"/>
      <c r="F344" s="19"/>
      <c r="G344" s="20"/>
      <c r="H344" s="3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5.75" customHeight="1" x14ac:dyDescent="0.25">
      <c r="A345" s="3"/>
      <c r="B345" s="3"/>
      <c r="C345" s="18"/>
      <c r="D345" s="18"/>
      <c r="E345" s="19"/>
      <c r="F345" s="19"/>
      <c r="G345" s="20"/>
      <c r="H345" s="3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5.75" customHeight="1" x14ac:dyDescent="0.25">
      <c r="A346" s="3"/>
      <c r="B346" s="3"/>
      <c r="C346" s="18"/>
      <c r="D346" s="18"/>
      <c r="E346" s="19"/>
      <c r="F346" s="19"/>
      <c r="G346" s="20"/>
      <c r="H346" s="3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15.75" customHeight="1" x14ac:dyDescent="0.25">
      <c r="A347" s="3"/>
      <c r="B347" s="3"/>
      <c r="C347" s="18"/>
      <c r="D347" s="18"/>
      <c r="E347" s="19"/>
      <c r="F347" s="19"/>
      <c r="G347" s="20"/>
      <c r="H347" s="3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15.75" customHeight="1" x14ac:dyDescent="0.25">
      <c r="A348" s="3"/>
      <c r="B348" s="3"/>
      <c r="C348" s="18"/>
      <c r="D348" s="18"/>
      <c r="E348" s="19"/>
      <c r="F348" s="19"/>
      <c r="G348" s="20"/>
      <c r="H348" s="3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15.75" customHeight="1" x14ac:dyDescent="0.25">
      <c r="A349" s="3"/>
      <c r="B349" s="3"/>
      <c r="C349" s="18"/>
      <c r="D349" s="18"/>
      <c r="E349" s="19"/>
      <c r="F349" s="19"/>
      <c r="G349" s="20"/>
      <c r="H349" s="3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15.75" customHeight="1" x14ac:dyDescent="0.25">
      <c r="A350" s="3"/>
      <c r="B350" s="3"/>
      <c r="C350" s="18"/>
      <c r="D350" s="18"/>
      <c r="E350" s="19"/>
      <c r="F350" s="19"/>
      <c r="G350" s="20"/>
      <c r="H350" s="3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5.75" customHeight="1" x14ac:dyDescent="0.25">
      <c r="A351" s="3"/>
      <c r="B351" s="3"/>
      <c r="C351" s="18"/>
      <c r="D351" s="18"/>
      <c r="E351" s="19"/>
      <c r="F351" s="19"/>
      <c r="G351" s="20"/>
      <c r="H351" s="3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15.75" customHeight="1" x14ac:dyDescent="0.25">
      <c r="A352" s="3"/>
      <c r="B352" s="3"/>
      <c r="C352" s="18"/>
      <c r="D352" s="18"/>
      <c r="E352" s="19"/>
      <c r="F352" s="19"/>
      <c r="G352" s="20"/>
      <c r="H352" s="3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15.75" customHeight="1" x14ac:dyDescent="0.25">
      <c r="A353" s="3"/>
      <c r="B353" s="3"/>
      <c r="C353" s="18"/>
      <c r="D353" s="18"/>
      <c r="E353" s="19"/>
      <c r="F353" s="19"/>
      <c r="G353" s="20"/>
      <c r="H353" s="3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15.75" customHeight="1" x14ac:dyDescent="0.25">
      <c r="A354" s="3"/>
      <c r="B354" s="3"/>
      <c r="C354" s="18"/>
      <c r="D354" s="18"/>
      <c r="E354" s="19"/>
      <c r="F354" s="19"/>
      <c r="G354" s="20"/>
      <c r="H354" s="3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15.75" customHeight="1" x14ac:dyDescent="0.25">
      <c r="A355" s="3"/>
      <c r="B355" s="3"/>
      <c r="C355" s="18"/>
      <c r="D355" s="18"/>
      <c r="E355" s="19"/>
      <c r="F355" s="19"/>
      <c r="G355" s="20"/>
      <c r="H355" s="3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15.75" customHeight="1" x14ac:dyDescent="0.25">
      <c r="A356" s="3"/>
      <c r="B356" s="3"/>
      <c r="C356" s="18"/>
      <c r="D356" s="18"/>
      <c r="E356" s="19"/>
      <c r="F356" s="19"/>
      <c r="G356" s="20"/>
      <c r="H356" s="3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15.75" customHeight="1" x14ac:dyDescent="0.25">
      <c r="A357" s="3"/>
      <c r="B357" s="3"/>
      <c r="C357" s="18"/>
      <c r="D357" s="18"/>
      <c r="E357" s="19"/>
      <c r="F357" s="19"/>
      <c r="G357" s="20"/>
      <c r="H357" s="3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15.75" customHeight="1" x14ac:dyDescent="0.25">
      <c r="A358" s="3"/>
      <c r="B358" s="3"/>
      <c r="C358" s="18"/>
      <c r="D358" s="18"/>
      <c r="E358" s="19"/>
      <c r="F358" s="19"/>
      <c r="G358" s="20"/>
      <c r="H358" s="3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15.75" customHeight="1" x14ac:dyDescent="0.25">
      <c r="A359" s="3"/>
      <c r="B359" s="3"/>
      <c r="C359" s="18"/>
      <c r="D359" s="18"/>
      <c r="E359" s="19"/>
      <c r="F359" s="19"/>
      <c r="G359" s="20"/>
      <c r="H359" s="3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5.75" customHeight="1" x14ac:dyDescent="0.25">
      <c r="A360" s="3"/>
      <c r="B360" s="3"/>
      <c r="C360" s="18"/>
      <c r="D360" s="18"/>
      <c r="E360" s="19"/>
      <c r="F360" s="19"/>
      <c r="G360" s="20"/>
      <c r="H360" s="3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15.75" customHeight="1" x14ac:dyDescent="0.25">
      <c r="A361" s="3"/>
      <c r="B361" s="3"/>
      <c r="C361" s="18"/>
      <c r="D361" s="18"/>
      <c r="E361" s="19"/>
      <c r="F361" s="19"/>
      <c r="G361" s="20"/>
      <c r="H361" s="3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15.75" customHeight="1" x14ac:dyDescent="0.25">
      <c r="A362" s="3"/>
      <c r="B362" s="3"/>
      <c r="C362" s="18"/>
      <c r="D362" s="18"/>
      <c r="E362" s="19"/>
      <c r="F362" s="19"/>
      <c r="G362" s="20"/>
      <c r="H362" s="3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15.75" customHeight="1" x14ac:dyDescent="0.25">
      <c r="A363" s="3"/>
      <c r="B363" s="3"/>
      <c r="C363" s="18"/>
      <c r="D363" s="18"/>
      <c r="E363" s="19"/>
      <c r="F363" s="19"/>
      <c r="G363" s="20"/>
      <c r="H363" s="3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15.75" customHeight="1" x14ac:dyDescent="0.25">
      <c r="A364" s="3"/>
      <c r="B364" s="3"/>
      <c r="C364" s="18"/>
      <c r="D364" s="18"/>
      <c r="E364" s="19"/>
      <c r="F364" s="19"/>
      <c r="G364" s="20"/>
      <c r="H364" s="3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15.75" customHeight="1" x14ac:dyDescent="0.25">
      <c r="A365" s="3"/>
      <c r="B365" s="3"/>
      <c r="C365" s="18"/>
      <c r="D365" s="18"/>
      <c r="E365" s="19"/>
      <c r="F365" s="19"/>
      <c r="G365" s="20"/>
      <c r="H365" s="3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15.75" customHeight="1" x14ac:dyDescent="0.25">
      <c r="A366" s="3"/>
      <c r="B366" s="3"/>
      <c r="C366" s="18"/>
      <c r="D366" s="18"/>
      <c r="E366" s="19"/>
      <c r="F366" s="19"/>
      <c r="G366" s="20"/>
      <c r="H366" s="3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15.75" customHeight="1" x14ac:dyDescent="0.25">
      <c r="A367" s="3"/>
      <c r="B367" s="3"/>
      <c r="C367" s="18"/>
      <c r="D367" s="18"/>
      <c r="E367" s="19"/>
      <c r="F367" s="19"/>
      <c r="G367" s="20"/>
      <c r="H367" s="3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15.75" customHeight="1" x14ac:dyDescent="0.25">
      <c r="A368" s="3"/>
      <c r="B368" s="3"/>
      <c r="C368" s="18"/>
      <c r="D368" s="18"/>
      <c r="E368" s="19"/>
      <c r="F368" s="19"/>
      <c r="G368" s="20"/>
      <c r="H368" s="3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15.75" customHeight="1" x14ac:dyDescent="0.25">
      <c r="A369" s="3"/>
      <c r="B369" s="3"/>
      <c r="C369" s="18"/>
      <c r="D369" s="18"/>
      <c r="E369" s="19"/>
      <c r="F369" s="19"/>
      <c r="G369" s="20"/>
      <c r="H369" s="3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15.75" customHeight="1" x14ac:dyDescent="0.25">
      <c r="A370" s="3"/>
      <c r="B370" s="3"/>
      <c r="C370" s="18"/>
      <c r="D370" s="18"/>
      <c r="E370" s="19"/>
      <c r="F370" s="19"/>
      <c r="G370" s="20"/>
      <c r="H370" s="3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15.75" customHeight="1" x14ac:dyDescent="0.25">
      <c r="A371" s="3"/>
      <c r="B371" s="3"/>
      <c r="C371" s="18"/>
      <c r="D371" s="18"/>
      <c r="E371" s="19"/>
      <c r="F371" s="19"/>
      <c r="G371" s="20"/>
      <c r="H371" s="3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15.75" customHeight="1" x14ac:dyDescent="0.25">
      <c r="A372" s="3"/>
      <c r="B372" s="3"/>
      <c r="C372" s="18"/>
      <c r="D372" s="18"/>
      <c r="E372" s="19"/>
      <c r="F372" s="19"/>
      <c r="G372" s="20"/>
      <c r="H372" s="3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15.75" customHeight="1" x14ac:dyDescent="0.25">
      <c r="A373" s="3"/>
      <c r="B373" s="3"/>
      <c r="C373" s="18"/>
      <c r="D373" s="18"/>
      <c r="E373" s="19"/>
      <c r="F373" s="19"/>
      <c r="G373" s="20"/>
      <c r="H373" s="3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15.75" customHeight="1" x14ac:dyDescent="0.25">
      <c r="A374" s="3"/>
      <c r="B374" s="3"/>
      <c r="C374" s="18"/>
      <c r="D374" s="18"/>
      <c r="E374" s="19"/>
      <c r="F374" s="19"/>
      <c r="G374" s="20"/>
      <c r="H374" s="3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15.75" customHeight="1" x14ac:dyDescent="0.25">
      <c r="A375" s="3"/>
      <c r="B375" s="3"/>
      <c r="C375" s="18"/>
      <c r="D375" s="18"/>
      <c r="E375" s="19"/>
      <c r="F375" s="19"/>
      <c r="G375" s="20"/>
      <c r="H375" s="3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15.75" customHeight="1" x14ac:dyDescent="0.25">
      <c r="A376" s="3"/>
      <c r="B376" s="3"/>
      <c r="C376" s="18"/>
      <c r="D376" s="18"/>
      <c r="E376" s="19"/>
      <c r="F376" s="19"/>
      <c r="G376" s="20"/>
      <c r="H376" s="3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15.75" customHeight="1" x14ac:dyDescent="0.25">
      <c r="A377" s="3"/>
      <c r="B377" s="3"/>
      <c r="C377" s="18"/>
      <c r="D377" s="18"/>
      <c r="E377" s="19"/>
      <c r="F377" s="19"/>
      <c r="G377" s="20"/>
      <c r="H377" s="3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15.75" customHeight="1" x14ac:dyDescent="0.25">
      <c r="A378" s="3"/>
      <c r="B378" s="3"/>
      <c r="C378" s="18"/>
      <c r="D378" s="18"/>
      <c r="E378" s="19"/>
      <c r="F378" s="19"/>
      <c r="G378" s="20"/>
      <c r="H378" s="3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15.75" customHeight="1" x14ac:dyDescent="0.25">
      <c r="A379" s="3"/>
      <c r="B379" s="3"/>
      <c r="C379" s="18"/>
      <c r="D379" s="18"/>
      <c r="E379" s="19"/>
      <c r="F379" s="19"/>
      <c r="G379" s="20"/>
      <c r="H379" s="3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15.75" customHeight="1" x14ac:dyDescent="0.25">
      <c r="A380" s="3"/>
      <c r="B380" s="3"/>
      <c r="C380" s="18"/>
      <c r="D380" s="18"/>
      <c r="E380" s="19"/>
      <c r="F380" s="19"/>
      <c r="G380" s="20"/>
      <c r="H380" s="3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15.75" customHeight="1" x14ac:dyDescent="0.25">
      <c r="A381" s="3"/>
      <c r="B381" s="3"/>
      <c r="C381" s="18"/>
      <c r="D381" s="18"/>
      <c r="E381" s="19"/>
      <c r="F381" s="19"/>
      <c r="G381" s="20"/>
      <c r="H381" s="3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15.75" customHeight="1" x14ac:dyDescent="0.25">
      <c r="A382" s="3"/>
      <c r="B382" s="3"/>
      <c r="C382" s="18"/>
      <c r="D382" s="18"/>
      <c r="E382" s="19"/>
      <c r="F382" s="19"/>
      <c r="G382" s="20"/>
      <c r="H382" s="3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15.75" customHeight="1" x14ac:dyDescent="0.25">
      <c r="A383" s="3"/>
      <c r="B383" s="3"/>
      <c r="C383" s="18"/>
      <c r="D383" s="18"/>
      <c r="E383" s="19"/>
      <c r="F383" s="19"/>
      <c r="G383" s="20"/>
      <c r="H383" s="3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15.75" customHeight="1" x14ac:dyDescent="0.25">
      <c r="A384" s="3"/>
      <c r="B384" s="3"/>
      <c r="C384" s="18"/>
      <c r="D384" s="18"/>
      <c r="E384" s="19"/>
      <c r="F384" s="19"/>
      <c r="G384" s="20"/>
      <c r="H384" s="3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15.75" customHeight="1" x14ac:dyDescent="0.25">
      <c r="A385" s="3"/>
      <c r="B385" s="3"/>
      <c r="C385" s="18"/>
      <c r="D385" s="18"/>
      <c r="E385" s="19"/>
      <c r="F385" s="19"/>
      <c r="G385" s="20"/>
      <c r="H385" s="3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15.75" customHeight="1" x14ac:dyDescent="0.25">
      <c r="A386" s="3"/>
      <c r="B386" s="3"/>
      <c r="C386" s="18"/>
      <c r="D386" s="18"/>
      <c r="E386" s="19"/>
      <c r="F386" s="19"/>
      <c r="G386" s="20"/>
      <c r="H386" s="3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pans="1:34" ht="15.75" customHeight="1" x14ac:dyDescent="0.25">
      <c r="A387" s="3"/>
      <c r="B387" s="3"/>
      <c r="C387" s="18"/>
      <c r="D387" s="18"/>
      <c r="E387" s="19"/>
      <c r="F387" s="19"/>
      <c r="G387" s="20"/>
      <c r="H387" s="3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ht="15.75" customHeight="1" x14ac:dyDescent="0.25">
      <c r="A388" s="3"/>
      <c r="B388" s="3"/>
      <c r="C388" s="18"/>
      <c r="D388" s="18"/>
      <c r="E388" s="19"/>
      <c r="F388" s="19"/>
      <c r="G388" s="20"/>
      <c r="H388" s="3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pans="1:34" ht="15.75" customHeight="1" x14ac:dyDescent="0.25">
      <c r="A389" s="3"/>
      <c r="B389" s="3"/>
      <c r="C389" s="18"/>
      <c r="D389" s="18"/>
      <c r="E389" s="19"/>
      <c r="F389" s="19"/>
      <c r="G389" s="20"/>
      <c r="H389" s="3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ht="15.75" customHeight="1" x14ac:dyDescent="0.25">
      <c r="A390" s="3"/>
      <c r="B390" s="3"/>
      <c r="C390" s="18"/>
      <c r="D390" s="18"/>
      <c r="E390" s="19"/>
      <c r="F390" s="19"/>
      <c r="G390" s="20"/>
      <c r="H390" s="3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spans="1:34" ht="15.75" customHeight="1" x14ac:dyDescent="0.25">
      <c r="A391" s="3"/>
      <c r="B391" s="3"/>
      <c r="C391" s="18"/>
      <c r="D391" s="18"/>
      <c r="E391" s="19"/>
      <c r="F391" s="19"/>
      <c r="G391" s="20"/>
      <c r="H391" s="3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ht="15.75" customHeight="1" x14ac:dyDescent="0.25">
      <c r="A392" s="3"/>
      <c r="B392" s="3"/>
      <c r="C392" s="18"/>
      <c r="D392" s="18"/>
      <c r="E392" s="19"/>
      <c r="F392" s="19"/>
      <c r="G392" s="20"/>
      <c r="H392" s="3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5.75" customHeight="1" x14ac:dyDescent="0.25">
      <c r="A393" s="3"/>
      <c r="B393" s="3"/>
      <c r="C393" s="18"/>
      <c r="D393" s="18"/>
      <c r="E393" s="19"/>
      <c r="F393" s="19"/>
      <c r="G393" s="20"/>
      <c r="H393" s="3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spans="1:34" ht="15.75" customHeight="1" x14ac:dyDescent="0.25">
      <c r="A394" s="3"/>
      <c r="B394" s="3"/>
      <c r="C394" s="18"/>
      <c r="D394" s="18"/>
      <c r="E394" s="19"/>
      <c r="F394" s="19"/>
      <c r="G394" s="20"/>
      <c r="H394" s="3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spans="1:34" ht="15.75" customHeight="1" x14ac:dyDescent="0.25">
      <c r="A395" s="3"/>
      <c r="B395" s="3"/>
      <c r="C395" s="18"/>
      <c r="D395" s="18"/>
      <c r="E395" s="19"/>
      <c r="F395" s="19"/>
      <c r="G395" s="20"/>
      <c r="H395" s="3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spans="1:34" ht="15.75" customHeight="1" x14ac:dyDescent="0.25">
      <c r="A396" s="3"/>
      <c r="B396" s="3"/>
      <c r="C396" s="18"/>
      <c r="D396" s="18"/>
      <c r="E396" s="19"/>
      <c r="F396" s="19"/>
      <c r="G396" s="20"/>
      <c r="H396" s="3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spans="1:34" ht="15.75" customHeight="1" x14ac:dyDescent="0.25">
      <c r="A397" s="3"/>
      <c r="B397" s="3"/>
      <c r="C397" s="18"/>
      <c r="D397" s="18"/>
      <c r="E397" s="19"/>
      <c r="F397" s="19"/>
      <c r="G397" s="20"/>
      <c r="H397" s="3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spans="1:34" ht="15.75" customHeight="1" x14ac:dyDescent="0.25">
      <c r="A398" s="3"/>
      <c r="B398" s="3"/>
      <c r="C398" s="18"/>
      <c r="D398" s="18"/>
      <c r="E398" s="19"/>
      <c r="F398" s="19"/>
      <c r="G398" s="20"/>
      <c r="H398" s="3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spans="1:34" ht="15.75" customHeight="1" x14ac:dyDescent="0.25">
      <c r="A399" s="3"/>
      <c r="B399" s="3"/>
      <c r="C399" s="18"/>
      <c r="D399" s="18"/>
      <c r="E399" s="19"/>
      <c r="F399" s="19"/>
      <c r="G399" s="20"/>
      <c r="H399" s="3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spans="1:34" ht="15.75" customHeight="1" x14ac:dyDescent="0.25">
      <c r="A400" s="3"/>
      <c r="B400" s="3"/>
      <c r="C400" s="18"/>
      <c r="D400" s="18"/>
      <c r="E400" s="19"/>
      <c r="F400" s="19"/>
      <c r="G400" s="20"/>
      <c r="H400" s="3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spans="1:34" ht="15.75" customHeight="1" x14ac:dyDescent="0.25">
      <c r="A401" s="3"/>
      <c r="B401" s="3"/>
      <c r="C401" s="18"/>
      <c r="D401" s="18"/>
      <c r="E401" s="19"/>
      <c r="F401" s="19"/>
      <c r="G401" s="20"/>
      <c r="H401" s="3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spans="1:34" ht="15.75" customHeight="1" x14ac:dyDescent="0.25">
      <c r="A402" s="3"/>
      <c r="B402" s="3"/>
      <c r="C402" s="18"/>
      <c r="D402" s="18"/>
      <c r="E402" s="19"/>
      <c r="F402" s="19"/>
      <c r="G402" s="20"/>
      <c r="H402" s="3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spans="1:34" ht="15.75" customHeight="1" x14ac:dyDescent="0.25">
      <c r="A403" s="3"/>
      <c r="B403" s="3"/>
      <c r="C403" s="18"/>
      <c r="D403" s="18"/>
      <c r="E403" s="19"/>
      <c r="F403" s="19"/>
      <c r="G403" s="20"/>
      <c r="H403" s="3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spans="1:34" ht="15.75" customHeight="1" x14ac:dyDescent="0.25">
      <c r="A404" s="3"/>
      <c r="B404" s="3"/>
      <c r="C404" s="18"/>
      <c r="D404" s="18"/>
      <c r="E404" s="19"/>
      <c r="F404" s="19"/>
      <c r="G404" s="20"/>
      <c r="H404" s="3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spans="1:34" ht="15.75" customHeight="1" x14ac:dyDescent="0.25">
      <c r="A405" s="3"/>
      <c r="B405" s="3"/>
      <c r="C405" s="18"/>
      <c r="D405" s="18"/>
      <c r="E405" s="19"/>
      <c r="F405" s="19"/>
      <c r="G405" s="20"/>
      <c r="H405" s="3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spans="1:34" ht="15.75" customHeight="1" x14ac:dyDescent="0.25">
      <c r="A406" s="3"/>
      <c r="B406" s="3"/>
      <c r="C406" s="18"/>
      <c r="D406" s="18"/>
      <c r="E406" s="19"/>
      <c r="F406" s="19"/>
      <c r="G406" s="20"/>
      <c r="H406" s="3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spans="1:34" ht="15.75" customHeight="1" x14ac:dyDescent="0.25">
      <c r="A407" s="3"/>
      <c r="B407" s="3"/>
      <c r="C407" s="18"/>
      <c r="D407" s="18"/>
      <c r="E407" s="19"/>
      <c r="F407" s="19"/>
      <c r="G407" s="20"/>
      <c r="H407" s="3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spans="1:34" ht="15.75" customHeight="1" x14ac:dyDescent="0.25">
      <c r="A408" s="3"/>
      <c r="B408" s="3"/>
      <c r="C408" s="18"/>
      <c r="D408" s="18"/>
      <c r="E408" s="19"/>
      <c r="F408" s="19"/>
      <c r="G408" s="20"/>
      <c r="H408" s="3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spans="1:34" ht="15.75" customHeight="1" x14ac:dyDescent="0.25">
      <c r="A409" s="3"/>
      <c r="B409" s="3"/>
      <c r="C409" s="18"/>
      <c r="D409" s="18"/>
      <c r="E409" s="19"/>
      <c r="F409" s="19"/>
      <c r="G409" s="20"/>
      <c r="H409" s="3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spans="1:34" ht="15.75" customHeight="1" x14ac:dyDescent="0.25">
      <c r="A410" s="3"/>
      <c r="B410" s="3"/>
      <c r="C410" s="18"/>
      <c r="D410" s="18"/>
      <c r="E410" s="19"/>
      <c r="F410" s="19"/>
      <c r="G410" s="20"/>
      <c r="H410" s="3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spans="1:34" ht="15.75" customHeight="1" x14ac:dyDescent="0.25">
      <c r="A411" s="3"/>
      <c r="B411" s="3"/>
      <c r="C411" s="18"/>
      <c r="D411" s="18"/>
      <c r="E411" s="19"/>
      <c r="F411" s="19"/>
      <c r="G411" s="20"/>
      <c r="H411" s="3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spans="1:34" ht="15.75" customHeight="1" x14ac:dyDescent="0.25">
      <c r="A412" s="3"/>
      <c r="B412" s="3"/>
      <c r="C412" s="18"/>
      <c r="D412" s="18"/>
      <c r="E412" s="19"/>
      <c r="F412" s="19"/>
      <c r="G412" s="20"/>
      <c r="H412" s="3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spans="1:34" ht="15.75" customHeight="1" x14ac:dyDescent="0.25">
      <c r="A413" s="3"/>
      <c r="B413" s="3"/>
      <c r="C413" s="18"/>
      <c r="D413" s="18"/>
      <c r="E413" s="19"/>
      <c r="F413" s="19"/>
      <c r="G413" s="20"/>
      <c r="H413" s="3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spans="1:34" ht="15.75" customHeight="1" x14ac:dyDescent="0.25">
      <c r="A414" s="3"/>
      <c r="B414" s="3"/>
      <c r="C414" s="18"/>
      <c r="D414" s="18"/>
      <c r="E414" s="19"/>
      <c r="F414" s="19"/>
      <c r="G414" s="20"/>
      <c r="H414" s="3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spans="1:34" ht="15.75" customHeight="1" x14ac:dyDescent="0.25">
      <c r="A415" s="3"/>
      <c r="B415" s="3"/>
      <c r="C415" s="18"/>
      <c r="D415" s="18"/>
      <c r="E415" s="19"/>
      <c r="F415" s="19"/>
      <c r="G415" s="20"/>
      <c r="H415" s="3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spans="1:34" ht="15.75" customHeight="1" x14ac:dyDescent="0.25">
      <c r="A416" s="3"/>
      <c r="B416" s="3"/>
      <c r="C416" s="18"/>
      <c r="D416" s="18"/>
      <c r="E416" s="19"/>
      <c r="F416" s="19"/>
      <c r="G416" s="20"/>
      <c r="H416" s="3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spans="1:34" ht="15.75" customHeight="1" x14ac:dyDescent="0.25">
      <c r="A417" s="3"/>
      <c r="B417" s="3"/>
      <c r="C417" s="18"/>
      <c r="D417" s="18"/>
      <c r="E417" s="19"/>
      <c r="F417" s="19"/>
      <c r="G417" s="20"/>
      <c r="H417" s="3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spans="1:34" ht="15.75" customHeight="1" x14ac:dyDescent="0.25">
      <c r="A418" s="3"/>
      <c r="B418" s="3"/>
      <c r="C418" s="18"/>
      <c r="D418" s="18"/>
      <c r="E418" s="19"/>
      <c r="F418" s="19"/>
      <c r="G418" s="20"/>
      <c r="H418" s="3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spans="1:34" ht="15.75" customHeight="1" x14ac:dyDescent="0.25">
      <c r="A419" s="3"/>
      <c r="B419" s="3"/>
      <c r="C419" s="18"/>
      <c r="D419" s="18"/>
      <c r="E419" s="19"/>
      <c r="F419" s="19"/>
      <c r="G419" s="20"/>
      <c r="H419" s="3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spans="1:34" ht="15.75" customHeight="1" x14ac:dyDescent="0.25">
      <c r="A420" s="3"/>
      <c r="B420" s="3"/>
      <c r="C420" s="18"/>
      <c r="D420" s="18"/>
      <c r="E420" s="19"/>
      <c r="F420" s="19"/>
      <c r="G420" s="20"/>
      <c r="H420" s="3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spans="1:34" ht="15.75" customHeight="1" x14ac:dyDescent="0.25">
      <c r="A421" s="3"/>
      <c r="B421" s="3"/>
      <c r="C421" s="18"/>
      <c r="D421" s="18"/>
      <c r="E421" s="19"/>
      <c r="F421" s="19"/>
      <c r="G421" s="20"/>
      <c r="H421" s="3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spans="1:34" ht="15.75" customHeight="1" x14ac:dyDescent="0.25">
      <c r="A422" s="3"/>
      <c r="B422" s="3"/>
      <c r="C422" s="18"/>
      <c r="D422" s="18"/>
      <c r="E422" s="19"/>
      <c r="F422" s="19"/>
      <c r="G422" s="20"/>
      <c r="H422" s="3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spans="1:34" ht="15.75" customHeight="1" x14ac:dyDescent="0.25">
      <c r="A423" s="3"/>
      <c r="B423" s="3"/>
      <c r="C423" s="18"/>
      <c r="D423" s="18"/>
      <c r="E423" s="19"/>
      <c r="F423" s="19"/>
      <c r="G423" s="20"/>
      <c r="H423" s="3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spans="1:34" ht="15.75" customHeight="1" x14ac:dyDescent="0.25">
      <c r="A424" s="3"/>
      <c r="B424" s="3"/>
      <c r="C424" s="18"/>
      <c r="D424" s="18"/>
      <c r="E424" s="19"/>
      <c r="F424" s="19"/>
      <c r="G424" s="20"/>
      <c r="H424" s="3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spans="1:34" ht="15.75" customHeight="1" x14ac:dyDescent="0.25">
      <c r="A425" s="3"/>
      <c r="B425" s="3"/>
      <c r="C425" s="18"/>
      <c r="D425" s="18"/>
      <c r="E425" s="19"/>
      <c r="F425" s="19"/>
      <c r="G425" s="20"/>
      <c r="H425" s="3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spans="1:34" ht="15.75" customHeight="1" x14ac:dyDescent="0.25">
      <c r="A426" s="3"/>
      <c r="B426" s="3"/>
      <c r="C426" s="18"/>
      <c r="D426" s="18"/>
      <c r="E426" s="19"/>
      <c r="F426" s="19"/>
      <c r="G426" s="20"/>
      <c r="H426" s="3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ht="15.75" customHeight="1" x14ac:dyDescent="0.25">
      <c r="A427" s="3"/>
      <c r="B427" s="3"/>
      <c r="C427" s="18"/>
      <c r="D427" s="18"/>
      <c r="E427" s="19"/>
      <c r="F427" s="19"/>
      <c r="G427" s="20"/>
      <c r="H427" s="3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spans="1:34" ht="15.75" customHeight="1" x14ac:dyDescent="0.25">
      <c r="A428" s="3"/>
      <c r="B428" s="3"/>
      <c r="C428" s="18"/>
      <c r="D428" s="18"/>
      <c r="E428" s="19"/>
      <c r="F428" s="19"/>
      <c r="G428" s="20"/>
      <c r="H428" s="3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spans="1:34" ht="15.75" customHeight="1" x14ac:dyDescent="0.25">
      <c r="A429" s="3"/>
      <c r="B429" s="3"/>
      <c r="C429" s="18"/>
      <c r="D429" s="18"/>
      <c r="E429" s="19"/>
      <c r="F429" s="19"/>
      <c r="G429" s="20"/>
      <c r="H429" s="3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spans="1:34" ht="15.75" customHeight="1" x14ac:dyDescent="0.25">
      <c r="A430" s="3"/>
      <c r="B430" s="3"/>
      <c r="C430" s="18"/>
      <c r="D430" s="18"/>
      <c r="E430" s="19"/>
      <c r="F430" s="19"/>
      <c r="G430" s="20"/>
      <c r="H430" s="3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spans="1:34" ht="15.75" customHeight="1" x14ac:dyDescent="0.25">
      <c r="A431" s="3"/>
      <c r="B431" s="3"/>
      <c r="C431" s="18"/>
      <c r="D431" s="18"/>
      <c r="E431" s="19"/>
      <c r="F431" s="19"/>
      <c r="G431" s="20"/>
      <c r="H431" s="3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spans="1:34" ht="15.75" customHeight="1" x14ac:dyDescent="0.25">
      <c r="A432" s="3"/>
      <c r="B432" s="3"/>
      <c r="C432" s="18"/>
      <c r="D432" s="18"/>
      <c r="E432" s="19"/>
      <c r="F432" s="19"/>
      <c r="G432" s="20"/>
      <c r="H432" s="3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spans="1:34" ht="15.75" customHeight="1" x14ac:dyDescent="0.25">
      <c r="A433" s="3"/>
      <c r="B433" s="3"/>
      <c r="C433" s="18"/>
      <c r="D433" s="18"/>
      <c r="E433" s="19"/>
      <c r="F433" s="19"/>
      <c r="G433" s="20"/>
      <c r="H433" s="3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spans="1:34" ht="15.75" customHeight="1" x14ac:dyDescent="0.25">
      <c r="A434" s="3"/>
      <c r="B434" s="3"/>
      <c r="C434" s="18"/>
      <c r="D434" s="18"/>
      <c r="E434" s="19"/>
      <c r="F434" s="19"/>
      <c r="G434" s="20"/>
      <c r="H434" s="3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spans="1:34" ht="15.75" customHeight="1" x14ac:dyDescent="0.25">
      <c r="A435" s="3"/>
      <c r="B435" s="3"/>
      <c r="C435" s="18"/>
      <c r="D435" s="18"/>
      <c r="E435" s="19"/>
      <c r="F435" s="19"/>
      <c r="G435" s="20"/>
      <c r="H435" s="3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pans="1:34" ht="15.75" customHeight="1" x14ac:dyDescent="0.25">
      <c r="A436" s="3"/>
      <c r="B436" s="3"/>
      <c r="C436" s="18"/>
      <c r="D436" s="18"/>
      <c r="E436" s="19"/>
      <c r="F436" s="19"/>
      <c r="G436" s="20"/>
      <c r="H436" s="3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pans="1:34" ht="15.75" customHeight="1" x14ac:dyDescent="0.25">
      <c r="A437" s="3"/>
      <c r="B437" s="3"/>
      <c r="C437" s="18"/>
      <c r="D437" s="18"/>
      <c r="E437" s="19"/>
      <c r="F437" s="19"/>
      <c r="G437" s="20"/>
      <c r="H437" s="3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pans="1:34" ht="15.75" customHeight="1" x14ac:dyDescent="0.25">
      <c r="A438" s="3"/>
      <c r="B438" s="3"/>
      <c r="C438" s="18"/>
      <c r="D438" s="18"/>
      <c r="E438" s="19"/>
      <c r="F438" s="19"/>
      <c r="G438" s="20"/>
      <c r="H438" s="3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pans="1:34" ht="15.75" customHeight="1" x14ac:dyDescent="0.25">
      <c r="A439" s="3"/>
      <c r="B439" s="3"/>
      <c r="C439" s="18"/>
      <c r="D439" s="18"/>
      <c r="E439" s="19"/>
      <c r="F439" s="19"/>
      <c r="G439" s="20"/>
      <c r="H439" s="3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pans="1:34" ht="15.75" customHeight="1" x14ac:dyDescent="0.25">
      <c r="A440" s="3"/>
      <c r="B440" s="3"/>
      <c r="C440" s="18"/>
      <c r="D440" s="18"/>
      <c r="E440" s="19"/>
      <c r="F440" s="19"/>
      <c r="G440" s="20"/>
      <c r="H440" s="3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pans="1:34" ht="15.75" customHeight="1" x14ac:dyDescent="0.25">
      <c r="A441" s="3"/>
      <c r="B441" s="3"/>
      <c r="C441" s="18"/>
      <c r="D441" s="18"/>
      <c r="E441" s="19"/>
      <c r="F441" s="19"/>
      <c r="G441" s="20"/>
      <c r="H441" s="3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pans="1:34" ht="15.75" customHeight="1" x14ac:dyDescent="0.25">
      <c r="A442" s="3"/>
      <c r="B442" s="3"/>
      <c r="C442" s="18"/>
      <c r="D442" s="18"/>
      <c r="E442" s="19"/>
      <c r="F442" s="19"/>
      <c r="G442" s="20"/>
      <c r="H442" s="3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pans="1:34" ht="15.75" customHeight="1" x14ac:dyDescent="0.25">
      <c r="A443" s="3"/>
      <c r="B443" s="3"/>
      <c r="C443" s="18"/>
      <c r="D443" s="18"/>
      <c r="E443" s="19"/>
      <c r="F443" s="19"/>
      <c r="G443" s="20"/>
      <c r="H443" s="3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spans="1:34" ht="15.75" customHeight="1" x14ac:dyDescent="0.25">
      <c r="A444" s="3"/>
      <c r="B444" s="3"/>
      <c r="C444" s="18"/>
      <c r="D444" s="18"/>
      <c r="E444" s="19"/>
      <c r="F444" s="19"/>
      <c r="G444" s="20"/>
      <c r="H444" s="3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spans="1:34" ht="15.75" customHeight="1" x14ac:dyDescent="0.25">
      <c r="A445" s="3"/>
      <c r="B445" s="3"/>
      <c r="C445" s="18"/>
      <c r="D445" s="18"/>
      <c r="E445" s="19"/>
      <c r="F445" s="19"/>
      <c r="G445" s="20"/>
      <c r="H445" s="3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spans="1:34" ht="15.75" customHeight="1" x14ac:dyDescent="0.25">
      <c r="A446" s="3"/>
      <c r="B446" s="3"/>
      <c r="C446" s="18"/>
      <c r="D446" s="18"/>
      <c r="E446" s="19"/>
      <c r="F446" s="19"/>
      <c r="G446" s="20"/>
      <c r="H446" s="3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spans="1:34" ht="15.75" customHeight="1" x14ac:dyDescent="0.25">
      <c r="A447" s="3"/>
      <c r="B447" s="3"/>
      <c r="C447" s="18"/>
      <c r="D447" s="18"/>
      <c r="E447" s="19"/>
      <c r="F447" s="19"/>
      <c r="G447" s="20"/>
      <c r="H447" s="3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spans="1:34" ht="15.75" customHeight="1" x14ac:dyDescent="0.25">
      <c r="A448" s="3"/>
      <c r="B448" s="3"/>
      <c r="C448" s="18"/>
      <c r="D448" s="18"/>
      <c r="E448" s="19"/>
      <c r="F448" s="19"/>
      <c r="G448" s="20"/>
      <c r="H448" s="3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spans="1:34" ht="15.75" customHeight="1" x14ac:dyDescent="0.25">
      <c r="A449" s="3"/>
      <c r="B449" s="3"/>
      <c r="C449" s="18"/>
      <c r="D449" s="18"/>
      <c r="E449" s="19"/>
      <c r="F449" s="19"/>
      <c r="G449" s="20"/>
      <c r="H449" s="3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spans="1:34" ht="15.75" customHeight="1" x14ac:dyDescent="0.25">
      <c r="A450" s="3"/>
      <c r="B450" s="3"/>
      <c r="C450" s="18"/>
      <c r="D450" s="18"/>
      <c r="E450" s="19"/>
      <c r="F450" s="19"/>
      <c r="G450" s="20"/>
      <c r="H450" s="3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spans="1:34" ht="15.75" customHeight="1" x14ac:dyDescent="0.25">
      <c r="A451" s="3"/>
      <c r="B451" s="3"/>
      <c r="C451" s="18"/>
      <c r="D451" s="18"/>
      <c r="E451" s="19"/>
      <c r="F451" s="19"/>
      <c r="G451" s="20"/>
      <c r="H451" s="3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spans="1:34" ht="15.75" customHeight="1" x14ac:dyDescent="0.25">
      <c r="A452" s="3"/>
      <c r="B452" s="3"/>
      <c r="C452" s="18"/>
      <c r="D452" s="18"/>
      <c r="E452" s="19"/>
      <c r="F452" s="19"/>
      <c r="G452" s="20"/>
      <c r="H452" s="3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spans="1:34" ht="15.75" customHeight="1" x14ac:dyDescent="0.25">
      <c r="A453" s="3"/>
      <c r="B453" s="3"/>
      <c r="C453" s="18"/>
      <c r="D453" s="18"/>
      <c r="E453" s="19"/>
      <c r="F453" s="19"/>
      <c r="G453" s="20"/>
      <c r="H453" s="3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spans="1:34" ht="15.75" customHeight="1" x14ac:dyDescent="0.25">
      <c r="A454" s="3"/>
      <c r="B454" s="3"/>
      <c r="C454" s="18"/>
      <c r="D454" s="18"/>
      <c r="E454" s="19"/>
      <c r="F454" s="19"/>
      <c r="G454" s="20"/>
      <c r="H454" s="3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spans="1:34" ht="15.75" customHeight="1" x14ac:dyDescent="0.25">
      <c r="A455" s="3"/>
      <c r="B455" s="3"/>
      <c r="C455" s="18"/>
      <c r="D455" s="18"/>
      <c r="E455" s="19"/>
      <c r="F455" s="19"/>
      <c r="G455" s="20"/>
      <c r="H455" s="3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spans="1:34" ht="15.75" customHeight="1" x14ac:dyDescent="0.25">
      <c r="A456" s="3"/>
      <c r="B456" s="3"/>
      <c r="C456" s="18"/>
      <c r="D456" s="18"/>
      <c r="E456" s="19"/>
      <c r="F456" s="19"/>
      <c r="G456" s="20"/>
      <c r="H456" s="3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spans="1:34" ht="15.75" customHeight="1" x14ac:dyDescent="0.25">
      <c r="A457" s="3"/>
      <c r="B457" s="3"/>
      <c r="C457" s="18"/>
      <c r="D457" s="18"/>
      <c r="E457" s="19"/>
      <c r="F457" s="19"/>
      <c r="G457" s="20"/>
      <c r="H457" s="3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spans="1:34" ht="15.75" customHeight="1" x14ac:dyDescent="0.25">
      <c r="A458" s="3"/>
      <c r="B458" s="3"/>
      <c r="C458" s="18"/>
      <c r="D458" s="18"/>
      <c r="E458" s="19"/>
      <c r="F458" s="19"/>
      <c r="G458" s="20"/>
      <c r="H458" s="3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spans="1:34" ht="15.75" customHeight="1" x14ac:dyDescent="0.25">
      <c r="A459" s="3"/>
      <c r="B459" s="3"/>
      <c r="C459" s="18"/>
      <c r="D459" s="18"/>
      <c r="E459" s="19"/>
      <c r="F459" s="19"/>
      <c r="G459" s="20"/>
      <c r="H459" s="3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spans="1:34" ht="15.75" customHeight="1" x14ac:dyDescent="0.25">
      <c r="A460" s="3"/>
      <c r="B460" s="3"/>
      <c r="C460" s="18"/>
      <c r="D460" s="18"/>
      <c r="E460" s="19"/>
      <c r="F460" s="19"/>
      <c r="G460" s="20"/>
      <c r="H460" s="3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spans="1:34" ht="15.75" customHeight="1" x14ac:dyDescent="0.25">
      <c r="A461" s="3"/>
      <c r="B461" s="3"/>
      <c r="C461" s="18"/>
      <c r="D461" s="18"/>
      <c r="E461" s="19"/>
      <c r="F461" s="19"/>
      <c r="G461" s="20"/>
      <c r="H461" s="3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spans="1:34" ht="15.75" customHeight="1" x14ac:dyDescent="0.25">
      <c r="A462" s="3"/>
      <c r="B462" s="3"/>
      <c r="C462" s="18"/>
      <c r="D462" s="18"/>
      <c r="E462" s="19"/>
      <c r="F462" s="19"/>
      <c r="G462" s="20"/>
      <c r="H462" s="3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spans="1:34" ht="15.75" customHeight="1" x14ac:dyDescent="0.25">
      <c r="A463" s="3"/>
      <c r="B463" s="3"/>
      <c r="C463" s="18"/>
      <c r="D463" s="18"/>
      <c r="E463" s="19"/>
      <c r="F463" s="19"/>
      <c r="G463" s="20"/>
      <c r="H463" s="3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spans="1:34" ht="15.75" customHeight="1" x14ac:dyDescent="0.25">
      <c r="A464" s="3"/>
      <c r="B464" s="3"/>
      <c r="C464" s="18"/>
      <c r="D464" s="18"/>
      <c r="E464" s="19"/>
      <c r="F464" s="19"/>
      <c r="G464" s="20"/>
      <c r="H464" s="3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spans="1:34" ht="15.75" customHeight="1" x14ac:dyDescent="0.25">
      <c r="A465" s="3"/>
      <c r="B465" s="3"/>
      <c r="C465" s="18"/>
      <c r="D465" s="18"/>
      <c r="E465" s="19"/>
      <c r="F465" s="19"/>
      <c r="G465" s="20"/>
      <c r="H465" s="3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spans="1:34" ht="15.75" customHeight="1" x14ac:dyDescent="0.25">
      <c r="A466" s="3"/>
      <c r="B466" s="3"/>
      <c r="C466" s="18"/>
      <c r="D466" s="18"/>
      <c r="E466" s="19"/>
      <c r="F466" s="19"/>
      <c r="G466" s="20"/>
      <c r="H466" s="3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spans="1:34" ht="15.75" customHeight="1" x14ac:dyDescent="0.25">
      <c r="A467" s="3"/>
      <c r="B467" s="3"/>
      <c r="C467" s="18"/>
      <c r="D467" s="18"/>
      <c r="E467" s="19"/>
      <c r="F467" s="19"/>
      <c r="G467" s="20"/>
      <c r="H467" s="3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spans="1:34" ht="15.75" customHeight="1" x14ac:dyDescent="0.25">
      <c r="A468" s="3"/>
      <c r="B468" s="3"/>
      <c r="C468" s="18"/>
      <c r="D468" s="18"/>
      <c r="E468" s="19"/>
      <c r="F468" s="19"/>
      <c r="G468" s="20"/>
      <c r="H468" s="3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spans="1:34" ht="15.75" customHeight="1" x14ac:dyDescent="0.25">
      <c r="A469" s="3"/>
      <c r="B469" s="3"/>
      <c r="C469" s="18"/>
      <c r="D469" s="18"/>
      <c r="E469" s="19"/>
      <c r="F469" s="19"/>
      <c r="G469" s="20"/>
      <c r="H469" s="3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spans="1:34" ht="15.75" customHeight="1" x14ac:dyDescent="0.25">
      <c r="A470" s="3"/>
      <c r="B470" s="3"/>
      <c r="C470" s="18"/>
      <c r="D470" s="18"/>
      <c r="E470" s="19"/>
      <c r="F470" s="19"/>
      <c r="G470" s="20"/>
      <c r="H470" s="3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spans="1:34" ht="15.75" customHeight="1" x14ac:dyDescent="0.25">
      <c r="A471" s="3"/>
      <c r="B471" s="3"/>
      <c r="C471" s="18"/>
      <c r="D471" s="18"/>
      <c r="E471" s="19"/>
      <c r="F471" s="19"/>
      <c r="G471" s="20"/>
      <c r="H471" s="3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spans="1:34" ht="15.75" customHeight="1" x14ac:dyDescent="0.25">
      <c r="A472" s="3"/>
      <c r="B472" s="3"/>
      <c r="C472" s="18"/>
      <c r="D472" s="18"/>
      <c r="E472" s="19"/>
      <c r="F472" s="19"/>
      <c r="G472" s="20"/>
      <c r="H472" s="3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spans="1:34" ht="15.75" customHeight="1" x14ac:dyDescent="0.25">
      <c r="A473" s="3"/>
      <c r="B473" s="3"/>
      <c r="C473" s="18"/>
      <c r="D473" s="18"/>
      <c r="E473" s="19"/>
      <c r="F473" s="19"/>
      <c r="G473" s="20"/>
      <c r="H473" s="3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spans="1:34" ht="15.75" customHeight="1" x14ac:dyDescent="0.25">
      <c r="A474" s="3"/>
      <c r="B474" s="3"/>
      <c r="C474" s="18"/>
      <c r="D474" s="18"/>
      <c r="E474" s="19"/>
      <c r="F474" s="19"/>
      <c r="G474" s="20"/>
      <c r="H474" s="3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spans="1:34" ht="15.75" customHeight="1" x14ac:dyDescent="0.25">
      <c r="A475" s="3"/>
      <c r="B475" s="3"/>
      <c r="C475" s="18"/>
      <c r="D475" s="18"/>
      <c r="E475" s="19"/>
      <c r="F475" s="19"/>
      <c r="G475" s="20"/>
      <c r="H475" s="3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spans="1:34" ht="15.75" customHeight="1" x14ac:dyDescent="0.25">
      <c r="A476" s="3"/>
      <c r="B476" s="3"/>
      <c r="C476" s="18"/>
      <c r="D476" s="18"/>
      <c r="E476" s="19"/>
      <c r="F476" s="19"/>
      <c r="G476" s="20"/>
      <c r="H476" s="3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spans="1:34" ht="15.75" customHeight="1" x14ac:dyDescent="0.25">
      <c r="A477" s="3"/>
      <c r="B477" s="3"/>
      <c r="C477" s="18"/>
      <c r="D477" s="18"/>
      <c r="E477" s="19"/>
      <c r="F477" s="19"/>
      <c r="G477" s="20"/>
      <c r="H477" s="3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spans="1:34" ht="15.75" customHeight="1" x14ac:dyDescent="0.25">
      <c r="A478" s="3"/>
      <c r="B478" s="3"/>
      <c r="C478" s="18"/>
      <c r="D478" s="18"/>
      <c r="E478" s="19"/>
      <c r="F478" s="19"/>
      <c r="G478" s="20"/>
      <c r="H478" s="3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spans="1:34" ht="15.75" customHeight="1" x14ac:dyDescent="0.25">
      <c r="A479" s="3"/>
      <c r="B479" s="3"/>
      <c r="C479" s="18"/>
      <c r="D479" s="18"/>
      <c r="E479" s="19"/>
      <c r="F479" s="19"/>
      <c r="G479" s="20"/>
      <c r="H479" s="3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spans="1:34" ht="15.75" customHeight="1" x14ac:dyDescent="0.25">
      <c r="A480" s="3"/>
      <c r="B480" s="3"/>
      <c r="C480" s="18"/>
      <c r="D480" s="18"/>
      <c r="E480" s="19"/>
      <c r="F480" s="19"/>
      <c r="G480" s="20"/>
      <c r="H480" s="3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spans="1:34" ht="15.75" customHeight="1" x14ac:dyDescent="0.25">
      <c r="A481" s="3"/>
      <c r="B481" s="3"/>
      <c r="C481" s="18"/>
      <c r="D481" s="18"/>
      <c r="E481" s="19"/>
      <c r="F481" s="19"/>
      <c r="G481" s="20"/>
      <c r="H481" s="3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spans="1:34" ht="15.75" customHeight="1" x14ac:dyDescent="0.25">
      <c r="A482" s="3"/>
      <c r="B482" s="3"/>
      <c r="C482" s="18"/>
      <c r="D482" s="18"/>
      <c r="E482" s="19"/>
      <c r="F482" s="19"/>
      <c r="G482" s="20"/>
      <c r="H482" s="3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spans="1:34" ht="15.75" customHeight="1" x14ac:dyDescent="0.25">
      <c r="A483" s="3"/>
      <c r="B483" s="3"/>
      <c r="C483" s="18"/>
      <c r="D483" s="18"/>
      <c r="E483" s="19"/>
      <c r="F483" s="19"/>
      <c r="G483" s="20"/>
      <c r="H483" s="3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spans="1:34" ht="15.75" customHeight="1" x14ac:dyDescent="0.25">
      <c r="A484" s="3"/>
      <c r="B484" s="3"/>
      <c r="C484" s="18"/>
      <c r="D484" s="18"/>
      <c r="E484" s="19"/>
      <c r="F484" s="19"/>
      <c r="G484" s="20"/>
      <c r="H484" s="3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spans="1:34" ht="15.75" customHeight="1" x14ac:dyDescent="0.25">
      <c r="A485" s="3"/>
      <c r="B485" s="3"/>
      <c r="C485" s="18"/>
      <c r="D485" s="18"/>
      <c r="E485" s="19"/>
      <c r="F485" s="19"/>
      <c r="G485" s="20"/>
      <c r="H485" s="3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spans="1:34" ht="15.75" customHeight="1" x14ac:dyDescent="0.25">
      <c r="A486" s="3"/>
      <c r="B486" s="3"/>
      <c r="C486" s="18"/>
      <c r="D486" s="18"/>
      <c r="E486" s="19"/>
      <c r="F486" s="19"/>
      <c r="G486" s="20"/>
      <c r="H486" s="3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spans="1:34" ht="15.75" customHeight="1" x14ac:dyDescent="0.25">
      <c r="A487" s="3"/>
      <c r="B487" s="3"/>
      <c r="C487" s="18"/>
      <c r="D487" s="18"/>
      <c r="E487" s="19"/>
      <c r="F487" s="19"/>
      <c r="G487" s="20"/>
      <c r="H487" s="3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spans="1:34" ht="15.75" customHeight="1" x14ac:dyDescent="0.25">
      <c r="A488" s="3"/>
      <c r="B488" s="3"/>
      <c r="C488" s="18"/>
      <c r="D488" s="18"/>
      <c r="E488" s="19"/>
      <c r="F488" s="19"/>
      <c r="G488" s="20"/>
      <c r="H488" s="3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ht="15.75" customHeight="1" x14ac:dyDescent="0.25">
      <c r="A489" s="3"/>
      <c r="B489" s="3"/>
      <c r="C489" s="18"/>
      <c r="D489" s="18"/>
      <c r="E489" s="19"/>
      <c r="F489" s="19"/>
      <c r="G489" s="20"/>
      <c r="H489" s="3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spans="1:34" ht="15.75" customHeight="1" x14ac:dyDescent="0.25">
      <c r="A490" s="3"/>
      <c r="B490" s="3"/>
      <c r="C490" s="18"/>
      <c r="D490" s="18"/>
      <c r="E490" s="19"/>
      <c r="F490" s="19"/>
      <c r="G490" s="20"/>
      <c r="H490" s="3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spans="1:34" ht="15.75" customHeight="1" x14ac:dyDescent="0.25">
      <c r="A491" s="3"/>
      <c r="B491" s="3"/>
      <c r="C491" s="18"/>
      <c r="D491" s="18"/>
      <c r="E491" s="19"/>
      <c r="F491" s="19"/>
      <c r="G491" s="20"/>
      <c r="H491" s="3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spans="1:34" ht="15.75" customHeight="1" x14ac:dyDescent="0.25">
      <c r="A492" s="3"/>
      <c r="B492" s="3"/>
      <c r="C492" s="18"/>
      <c r="D492" s="18"/>
      <c r="E492" s="19"/>
      <c r="F492" s="19"/>
      <c r="G492" s="20"/>
      <c r="H492" s="3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spans="1:34" ht="15.75" customHeight="1" x14ac:dyDescent="0.25">
      <c r="A493" s="3"/>
      <c r="B493" s="3"/>
      <c r="C493" s="18"/>
      <c r="D493" s="18"/>
      <c r="E493" s="19"/>
      <c r="F493" s="19"/>
      <c r="G493" s="20"/>
      <c r="H493" s="3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spans="1:34" ht="15.75" customHeight="1" x14ac:dyDescent="0.25">
      <c r="A494" s="3"/>
      <c r="B494" s="3"/>
      <c r="C494" s="18"/>
      <c r="D494" s="18"/>
      <c r="E494" s="19"/>
      <c r="F494" s="19"/>
      <c r="G494" s="20"/>
      <c r="H494" s="3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spans="1:34" ht="15.75" customHeight="1" x14ac:dyDescent="0.25">
      <c r="A495" s="3"/>
      <c r="B495" s="3"/>
      <c r="C495" s="18"/>
      <c r="D495" s="18"/>
      <c r="E495" s="19"/>
      <c r="F495" s="19"/>
      <c r="G495" s="20"/>
      <c r="H495" s="3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spans="1:34" ht="15.75" customHeight="1" x14ac:dyDescent="0.25">
      <c r="A496" s="3"/>
      <c r="B496" s="3"/>
      <c r="C496" s="18"/>
      <c r="D496" s="18"/>
      <c r="E496" s="19"/>
      <c r="F496" s="19"/>
      <c r="G496" s="20"/>
      <c r="H496" s="3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spans="1:34" ht="15.75" customHeight="1" x14ac:dyDescent="0.25">
      <c r="A497" s="3"/>
      <c r="B497" s="3"/>
      <c r="C497" s="18"/>
      <c r="D497" s="18"/>
      <c r="E497" s="19"/>
      <c r="F497" s="19"/>
      <c r="G497" s="20"/>
      <c r="H497" s="3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spans="1:34" ht="15.75" customHeight="1" x14ac:dyDescent="0.25">
      <c r="A498" s="3"/>
      <c r="B498" s="3"/>
      <c r="C498" s="18"/>
      <c r="D498" s="18"/>
      <c r="E498" s="19"/>
      <c r="F498" s="19"/>
      <c r="G498" s="20"/>
      <c r="H498" s="3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spans="1:34" ht="15.75" customHeight="1" x14ac:dyDescent="0.25">
      <c r="A499" s="3"/>
      <c r="B499" s="3"/>
      <c r="C499" s="18"/>
      <c r="D499" s="18"/>
      <c r="E499" s="19"/>
      <c r="F499" s="19"/>
      <c r="G499" s="20"/>
      <c r="H499" s="3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spans="1:34" ht="15.75" customHeight="1" x14ac:dyDescent="0.25">
      <c r="A500" s="3"/>
      <c r="B500" s="3"/>
      <c r="C500" s="18"/>
      <c r="D500" s="18"/>
      <c r="E500" s="19"/>
      <c r="F500" s="19"/>
      <c r="G500" s="20"/>
      <c r="H500" s="3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spans="1:34" ht="15.75" customHeight="1" x14ac:dyDescent="0.25">
      <c r="A501" s="3"/>
      <c r="B501" s="3"/>
      <c r="C501" s="18"/>
      <c r="D501" s="18"/>
      <c r="E501" s="19"/>
      <c r="F501" s="19"/>
      <c r="G501" s="20"/>
      <c r="H501" s="3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spans="1:34" ht="15.75" customHeight="1" x14ac:dyDescent="0.25">
      <c r="A502" s="3"/>
      <c r="B502" s="3"/>
      <c r="C502" s="18"/>
      <c r="D502" s="18"/>
      <c r="E502" s="19"/>
      <c r="F502" s="19"/>
      <c r="G502" s="20"/>
      <c r="H502" s="3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spans="1:34" ht="15.75" customHeight="1" x14ac:dyDescent="0.25">
      <c r="A503" s="3"/>
      <c r="B503" s="3"/>
      <c r="C503" s="18"/>
      <c r="D503" s="18"/>
      <c r="E503" s="19"/>
      <c r="F503" s="19"/>
      <c r="G503" s="20"/>
      <c r="H503" s="3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spans="1:34" ht="15.75" customHeight="1" x14ac:dyDescent="0.25">
      <c r="A504" s="3"/>
      <c r="B504" s="3"/>
      <c r="C504" s="18"/>
      <c r="D504" s="18"/>
      <c r="E504" s="19"/>
      <c r="F504" s="19"/>
      <c r="G504" s="20"/>
      <c r="H504" s="3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spans="1:34" ht="15.75" customHeight="1" x14ac:dyDescent="0.25">
      <c r="A505" s="3"/>
      <c r="B505" s="3"/>
      <c r="C505" s="18"/>
      <c r="D505" s="18"/>
      <c r="E505" s="19"/>
      <c r="F505" s="19"/>
      <c r="G505" s="20"/>
      <c r="H505" s="3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spans="1:34" ht="15.75" customHeight="1" x14ac:dyDescent="0.25">
      <c r="A506" s="3"/>
      <c r="B506" s="3"/>
      <c r="C506" s="18"/>
      <c r="D506" s="18"/>
      <c r="E506" s="19"/>
      <c r="F506" s="19"/>
      <c r="G506" s="20"/>
      <c r="H506" s="3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spans="1:34" ht="15.75" customHeight="1" x14ac:dyDescent="0.25">
      <c r="A507" s="3"/>
      <c r="B507" s="3"/>
      <c r="C507" s="18"/>
      <c r="D507" s="18"/>
      <c r="E507" s="19"/>
      <c r="F507" s="19"/>
      <c r="G507" s="20"/>
      <c r="H507" s="3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spans="1:34" ht="15.75" customHeight="1" x14ac:dyDescent="0.25">
      <c r="A508" s="3"/>
      <c r="B508" s="3"/>
      <c r="C508" s="18"/>
      <c r="D508" s="18"/>
      <c r="E508" s="19"/>
      <c r="F508" s="19"/>
      <c r="G508" s="20"/>
      <c r="H508" s="3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spans="1:34" ht="15.75" customHeight="1" x14ac:dyDescent="0.25">
      <c r="A509" s="3"/>
      <c r="B509" s="3"/>
      <c r="C509" s="18"/>
      <c r="D509" s="18"/>
      <c r="E509" s="19"/>
      <c r="F509" s="19"/>
      <c r="G509" s="20"/>
      <c r="H509" s="3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spans="1:34" ht="15.75" customHeight="1" x14ac:dyDescent="0.25">
      <c r="A510" s="3"/>
      <c r="B510" s="3"/>
      <c r="C510" s="18"/>
      <c r="D510" s="18"/>
      <c r="E510" s="19"/>
      <c r="F510" s="19"/>
      <c r="G510" s="20"/>
      <c r="H510" s="3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spans="1:34" ht="15.75" customHeight="1" x14ac:dyDescent="0.25">
      <c r="A511" s="3"/>
      <c r="B511" s="3"/>
      <c r="C511" s="18"/>
      <c r="D511" s="18"/>
      <c r="E511" s="19"/>
      <c r="F511" s="19"/>
      <c r="G511" s="20"/>
      <c r="H511" s="3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spans="1:34" ht="15.75" customHeight="1" x14ac:dyDescent="0.25">
      <c r="A512" s="3"/>
      <c r="B512" s="3"/>
      <c r="C512" s="18"/>
      <c r="D512" s="18"/>
      <c r="E512" s="19"/>
      <c r="F512" s="19"/>
      <c r="G512" s="20"/>
      <c r="H512" s="3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spans="1:34" ht="15.75" customHeight="1" x14ac:dyDescent="0.25">
      <c r="A513" s="3"/>
      <c r="B513" s="3"/>
      <c r="C513" s="18"/>
      <c r="D513" s="18"/>
      <c r="E513" s="19"/>
      <c r="F513" s="19"/>
      <c r="G513" s="20"/>
      <c r="H513" s="3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spans="1:34" ht="15.75" customHeight="1" x14ac:dyDescent="0.25">
      <c r="A514" s="3"/>
      <c r="B514" s="3"/>
      <c r="C514" s="18"/>
      <c r="D514" s="18"/>
      <c r="E514" s="19"/>
      <c r="F514" s="19"/>
      <c r="G514" s="20"/>
      <c r="H514" s="3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spans="1:34" ht="15.75" customHeight="1" x14ac:dyDescent="0.25">
      <c r="A515" s="3"/>
      <c r="B515" s="3"/>
      <c r="C515" s="18"/>
      <c r="D515" s="18"/>
      <c r="E515" s="19"/>
      <c r="F515" s="19"/>
      <c r="G515" s="20"/>
      <c r="H515" s="3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spans="1:34" ht="15.75" customHeight="1" x14ac:dyDescent="0.25">
      <c r="A516" s="3"/>
      <c r="B516" s="3"/>
      <c r="C516" s="18"/>
      <c r="D516" s="18"/>
      <c r="E516" s="19"/>
      <c r="F516" s="19"/>
      <c r="G516" s="20"/>
      <c r="H516" s="3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spans="1:34" ht="15.75" customHeight="1" x14ac:dyDescent="0.25">
      <c r="A517" s="3"/>
      <c r="B517" s="3"/>
      <c r="C517" s="18"/>
      <c r="D517" s="18"/>
      <c r="E517" s="19"/>
      <c r="F517" s="19"/>
      <c r="G517" s="20"/>
      <c r="H517" s="3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spans="1:34" ht="15.75" customHeight="1" x14ac:dyDescent="0.25">
      <c r="A518" s="3"/>
      <c r="B518" s="3"/>
      <c r="C518" s="18"/>
      <c r="D518" s="18"/>
      <c r="E518" s="19"/>
      <c r="F518" s="19"/>
      <c r="G518" s="20"/>
      <c r="H518" s="3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spans="1:34" ht="15.75" customHeight="1" x14ac:dyDescent="0.25">
      <c r="A519" s="3"/>
      <c r="B519" s="3"/>
      <c r="C519" s="18"/>
      <c r="D519" s="18"/>
      <c r="E519" s="19"/>
      <c r="F519" s="19"/>
      <c r="G519" s="20"/>
      <c r="H519" s="3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spans="1:34" ht="15.75" customHeight="1" x14ac:dyDescent="0.25">
      <c r="A520" s="3"/>
      <c r="B520" s="3"/>
      <c r="C520" s="18"/>
      <c r="D520" s="18"/>
      <c r="E520" s="19"/>
      <c r="F520" s="19"/>
      <c r="G520" s="20"/>
      <c r="H520" s="3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spans="1:34" ht="15.75" customHeight="1" x14ac:dyDescent="0.25">
      <c r="A521" s="3"/>
      <c r="B521" s="3"/>
      <c r="C521" s="18"/>
      <c r="D521" s="18"/>
      <c r="E521" s="19"/>
      <c r="F521" s="19"/>
      <c r="G521" s="20"/>
      <c r="H521" s="3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spans="1:34" ht="15.75" customHeight="1" x14ac:dyDescent="0.25">
      <c r="A522" s="3"/>
      <c r="B522" s="3"/>
      <c r="C522" s="18"/>
      <c r="D522" s="18"/>
      <c r="E522" s="19"/>
      <c r="F522" s="19"/>
      <c r="G522" s="20"/>
      <c r="H522" s="3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spans="1:34" ht="15.75" customHeight="1" x14ac:dyDescent="0.25">
      <c r="A523" s="3"/>
      <c r="B523" s="3"/>
      <c r="C523" s="18"/>
      <c r="D523" s="18"/>
      <c r="E523" s="19"/>
      <c r="F523" s="19"/>
      <c r="G523" s="20"/>
      <c r="H523" s="3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ht="15.75" customHeight="1" x14ac:dyDescent="0.25">
      <c r="A524" s="3"/>
      <c r="B524" s="3"/>
      <c r="C524" s="18"/>
      <c r="D524" s="18"/>
      <c r="E524" s="19"/>
      <c r="F524" s="19"/>
      <c r="G524" s="20"/>
      <c r="H524" s="3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spans="1:34" ht="15.75" customHeight="1" x14ac:dyDescent="0.25">
      <c r="A525" s="3"/>
      <c r="B525" s="3"/>
      <c r="C525" s="18"/>
      <c r="D525" s="18"/>
      <c r="E525" s="19"/>
      <c r="F525" s="19"/>
      <c r="G525" s="20"/>
      <c r="H525" s="3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spans="1:34" ht="15.75" customHeight="1" x14ac:dyDescent="0.25">
      <c r="A526" s="3"/>
      <c r="B526" s="3"/>
      <c r="C526" s="18"/>
      <c r="D526" s="18"/>
      <c r="E526" s="19"/>
      <c r="F526" s="19"/>
      <c r="G526" s="20"/>
      <c r="H526" s="3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spans="1:34" ht="15.75" customHeight="1" x14ac:dyDescent="0.25">
      <c r="A527" s="3"/>
      <c r="B527" s="3"/>
      <c r="C527" s="18"/>
      <c r="D527" s="18"/>
      <c r="E527" s="19"/>
      <c r="F527" s="19"/>
      <c r="G527" s="20"/>
      <c r="H527" s="3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spans="1:34" ht="15.75" customHeight="1" x14ac:dyDescent="0.25">
      <c r="A528" s="3"/>
      <c r="B528" s="3"/>
      <c r="C528" s="18"/>
      <c r="D528" s="18"/>
      <c r="E528" s="19"/>
      <c r="F528" s="19"/>
      <c r="G528" s="20"/>
      <c r="H528" s="3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spans="1:34" ht="15.75" customHeight="1" x14ac:dyDescent="0.25">
      <c r="A529" s="3"/>
      <c r="B529" s="3"/>
      <c r="C529" s="18"/>
      <c r="D529" s="18"/>
      <c r="E529" s="19"/>
      <c r="F529" s="19"/>
      <c r="G529" s="20"/>
      <c r="H529" s="3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spans="1:34" ht="15.75" customHeight="1" x14ac:dyDescent="0.25">
      <c r="A530" s="3"/>
      <c r="B530" s="3"/>
      <c r="C530" s="18"/>
      <c r="D530" s="18"/>
      <c r="E530" s="19"/>
      <c r="F530" s="19"/>
      <c r="G530" s="20"/>
      <c r="H530" s="3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spans="1:34" ht="15.75" customHeight="1" x14ac:dyDescent="0.25">
      <c r="A531" s="3"/>
      <c r="B531" s="3"/>
      <c r="C531" s="18"/>
      <c r="D531" s="18"/>
      <c r="E531" s="19"/>
      <c r="F531" s="19"/>
      <c r="G531" s="20"/>
      <c r="H531" s="3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spans="1:34" ht="15.75" customHeight="1" x14ac:dyDescent="0.25">
      <c r="A532" s="3"/>
      <c r="B532" s="3"/>
      <c r="C532" s="18"/>
      <c r="D532" s="18"/>
      <c r="E532" s="19"/>
      <c r="F532" s="19"/>
      <c r="G532" s="20"/>
      <c r="H532" s="3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spans="1:34" ht="15.75" customHeight="1" x14ac:dyDescent="0.25">
      <c r="A533" s="3"/>
      <c r="B533" s="3"/>
      <c r="C533" s="18"/>
      <c r="D533" s="18"/>
      <c r="E533" s="19"/>
      <c r="F533" s="19"/>
      <c r="G533" s="20"/>
      <c r="H533" s="3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spans="1:34" ht="15.75" customHeight="1" x14ac:dyDescent="0.25">
      <c r="A534" s="3"/>
      <c r="B534" s="3"/>
      <c r="C534" s="18"/>
      <c r="D534" s="18"/>
      <c r="E534" s="19"/>
      <c r="F534" s="19"/>
      <c r="G534" s="20"/>
      <c r="H534" s="3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spans="1:34" ht="15.75" customHeight="1" x14ac:dyDescent="0.25">
      <c r="A535" s="3"/>
      <c r="B535" s="3"/>
      <c r="C535" s="18"/>
      <c r="D535" s="18"/>
      <c r="E535" s="19"/>
      <c r="F535" s="19"/>
      <c r="G535" s="20"/>
      <c r="H535" s="3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spans="1:34" ht="15.75" customHeight="1" x14ac:dyDescent="0.25">
      <c r="A536" s="3"/>
      <c r="B536" s="3"/>
      <c r="C536" s="18"/>
      <c r="D536" s="18"/>
      <c r="E536" s="19"/>
      <c r="F536" s="19"/>
      <c r="G536" s="20"/>
      <c r="H536" s="3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spans="1:34" ht="15.75" customHeight="1" x14ac:dyDescent="0.25">
      <c r="A537" s="3"/>
      <c r="B537" s="3"/>
      <c r="C537" s="18"/>
      <c r="D537" s="18"/>
      <c r="E537" s="19"/>
      <c r="F537" s="19"/>
      <c r="G537" s="20"/>
      <c r="H537" s="3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spans="1:34" ht="15.75" customHeight="1" x14ac:dyDescent="0.25">
      <c r="A538" s="3"/>
      <c r="B538" s="3"/>
      <c r="C538" s="18"/>
      <c r="D538" s="18"/>
      <c r="E538" s="19"/>
      <c r="F538" s="19"/>
      <c r="G538" s="20"/>
      <c r="H538" s="3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spans="1:34" ht="15.75" customHeight="1" x14ac:dyDescent="0.25">
      <c r="A539" s="3"/>
      <c r="B539" s="3"/>
      <c r="C539" s="18"/>
      <c r="D539" s="18"/>
      <c r="E539" s="19"/>
      <c r="F539" s="19"/>
      <c r="G539" s="20"/>
      <c r="H539" s="3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spans="1:34" ht="15.75" customHeight="1" x14ac:dyDescent="0.25">
      <c r="A540" s="3"/>
      <c r="B540" s="3"/>
      <c r="C540" s="18"/>
      <c r="D540" s="18"/>
      <c r="E540" s="19"/>
      <c r="F540" s="19"/>
      <c r="G540" s="20"/>
      <c r="H540" s="3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spans="1:34" ht="15.75" customHeight="1" x14ac:dyDescent="0.25">
      <c r="A541" s="3"/>
      <c r="B541" s="3"/>
      <c r="C541" s="18"/>
      <c r="D541" s="18"/>
      <c r="E541" s="19"/>
      <c r="F541" s="19"/>
      <c r="G541" s="20"/>
      <c r="H541" s="3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spans="1:34" ht="15.75" customHeight="1" x14ac:dyDescent="0.25">
      <c r="A542" s="3"/>
      <c r="B542" s="3"/>
      <c r="C542" s="18"/>
      <c r="D542" s="18"/>
      <c r="E542" s="19"/>
      <c r="F542" s="19"/>
      <c r="G542" s="20"/>
      <c r="H542" s="3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spans="1:34" ht="15.75" customHeight="1" x14ac:dyDescent="0.25">
      <c r="A543" s="3"/>
      <c r="B543" s="3"/>
      <c r="C543" s="18"/>
      <c r="D543" s="18"/>
      <c r="E543" s="19"/>
      <c r="F543" s="19"/>
      <c r="G543" s="20"/>
      <c r="H543" s="3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spans="1:34" ht="15.75" customHeight="1" x14ac:dyDescent="0.25">
      <c r="A544" s="3"/>
      <c r="B544" s="3"/>
      <c r="C544" s="18"/>
      <c r="D544" s="18"/>
      <c r="E544" s="19"/>
      <c r="F544" s="19"/>
      <c r="G544" s="20"/>
      <c r="H544" s="3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spans="1:34" ht="15.75" customHeight="1" x14ac:dyDescent="0.25">
      <c r="A545" s="3"/>
      <c r="B545" s="3"/>
      <c r="C545" s="18"/>
      <c r="D545" s="18"/>
      <c r="E545" s="19"/>
      <c r="F545" s="19"/>
      <c r="G545" s="20"/>
      <c r="H545" s="3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spans="1:34" ht="15.75" customHeight="1" x14ac:dyDescent="0.25">
      <c r="A546" s="3"/>
      <c r="B546" s="3"/>
      <c r="C546" s="18"/>
      <c r="D546" s="18"/>
      <c r="E546" s="19"/>
      <c r="F546" s="19"/>
      <c r="G546" s="20"/>
      <c r="H546" s="3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spans="1:34" ht="15.75" customHeight="1" x14ac:dyDescent="0.25">
      <c r="A547" s="3"/>
      <c r="B547" s="3"/>
      <c r="C547" s="18"/>
      <c r="D547" s="18"/>
      <c r="E547" s="19"/>
      <c r="F547" s="19"/>
      <c r="G547" s="20"/>
      <c r="H547" s="3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spans="1:34" ht="15.75" customHeight="1" x14ac:dyDescent="0.25">
      <c r="A548" s="3"/>
      <c r="B548" s="3"/>
      <c r="C548" s="18"/>
      <c r="D548" s="18"/>
      <c r="E548" s="19"/>
      <c r="F548" s="19"/>
      <c r="G548" s="20"/>
      <c r="H548" s="3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spans="1:34" ht="15.75" customHeight="1" x14ac:dyDescent="0.25">
      <c r="A549" s="3"/>
      <c r="B549" s="3"/>
      <c r="C549" s="18"/>
      <c r="D549" s="18"/>
      <c r="E549" s="19"/>
      <c r="F549" s="19"/>
      <c r="G549" s="20"/>
      <c r="H549" s="3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spans="1:34" ht="15.75" customHeight="1" x14ac:dyDescent="0.25">
      <c r="A550" s="3"/>
      <c r="B550" s="3"/>
      <c r="C550" s="18"/>
      <c r="D550" s="18"/>
      <c r="E550" s="19"/>
      <c r="F550" s="19"/>
      <c r="G550" s="20"/>
      <c r="H550" s="3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spans="1:34" ht="15.75" customHeight="1" x14ac:dyDescent="0.25">
      <c r="A551" s="3"/>
      <c r="B551" s="3"/>
      <c r="C551" s="18"/>
      <c r="D551" s="18"/>
      <c r="E551" s="19"/>
      <c r="F551" s="19"/>
      <c r="G551" s="20"/>
      <c r="H551" s="3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spans="1:34" ht="15.75" customHeight="1" x14ac:dyDescent="0.25">
      <c r="A552" s="3"/>
      <c r="B552" s="3"/>
      <c r="C552" s="18"/>
      <c r="D552" s="18"/>
      <c r="E552" s="19"/>
      <c r="F552" s="19"/>
      <c r="G552" s="20"/>
      <c r="H552" s="3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spans="1:34" ht="15.75" customHeight="1" x14ac:dyDescent="0.25">
      <c r="A553" s="3"/>
      <c r="B553" s="3"/>
      <c r="C553" s="18"/>
      <c r="D553" s="18"/>
      <c r="E553" s="19"/>
      <c r="F553" s="19"/>
      <c r="G553" s="20"/>
      <c r="H553" s="3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spans="1:34" ht="15.75" customHeight="1" x14ac:dyDescent="0.25">
      <c r="A554" s="3"/>
      <c r="B554" s="3"/>
      <c r="C554" s="18"/>
      <c r="D554" s="18"/>
      <c r="E554" s="19"/>
      <c r="F554" s="19"/>
      <c r="G554" s="20"/>
      <c r="H554" s="3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spans="1:34" ht="15.75" customHeight="1" x14ac:dyDescent="0.25">
      <c r="A555" s="3"/>
      <c r="B555" s="3"/>
      <c r="C555" s="18"/>
      <c r="D555" s="18"/>
      <c r="E555" s="19"/>
      <c r="F555" s="19"/>
      <c r="G555" s="20"/>
      <c r="H555" s="3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spans="1:34" ht="15.75" customHeight="1" x14ac:dyDescent="0.25">
      <c r="A556" s="3"/>
      <c r="B556" s="3"/>
      <c r="C556" s="18"/>
      <c r="D556" s="18"/>
      <c r="E556" s="19"/>
      <c r="F556" s="19"/>
      <c r="G556" s="20"/>
      <c r="H556" s="3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spans="1:34" ht="15.75" customHeight="1" x14ac:dyDescent="0.25">
      <c r="A557" s="3"/>
      <c r="B557" s="3"/>
      <c r="C557" s="18"/>
      <c r="D557" s="18"/>
      <c r="E557" s="19"/>
      <c r="F557" s="19"/>
      <c r="G557" s="20"/>
      <c r="H557" s="3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spans="1:34" ht="15.75" customHeight="1" x14ac:dyDescent="0.25">
      <c r="A558" s="3"/>
      <c r="B558" s="3"/>
      <c r="C558" s="18"/>
      <c r="D558" s="18"/>
      <c r="E558" s="19"/>
      <c r="F558" s="19"/>
      <c r="G558" s="20"/>
      <c r="H558" s="3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spans="1:34" ht="15.75" customHeight="1" x14ac:dyDescent="0.25">
      <c r="A559" s="3"/>
      <c r="B559" s="3"/>
      <c r="C559" s="18"/>
      <c r="D559" s="18"/>
      <c r="E559" s="19"/>
      <c r="F559" s="19"/>
      <c r="G559" s="20"/>
      <c r="H559" s="3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spans="1:34" ht="15.75" customHeight="1" x14ac:dyDescent="0.25">
      <c r="A560" s="3"/>
      <c r="B560" s="3"/>
      <c r="C560" s="18"/>
      <c r="D560" s="18"/>
      <c r="E560" s="19"/>
      <c r="F560" s="19"/>
      <c r="G560" s="20"/>
      <c r="H560" s="3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spans="1:34" ht="15.75" customHeight="1" x14ac:dyDescent="0.25">
      <c r="A561" s="3"/>
      <c r="B561" s="3"/>
      <c r="C561" s="18"/>
      <c r="D561" s="18"/>
      <c r="E561" s="19"/>
      <c r="F561" s="19"/>
      <c r="G561" s="20"/>
      <c r="H561" s="3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ht="15.75" customHeight="1" x14ac:dyDescent="0.25">
      <c r="A562" s="3"/>
      <c r="B562" s="3"/>
      <c r="C562" s="18"/>
      <c r="D562" s="18"/>
      <c r="E562" s="19"/>
      <c r="F562" s="19"/>
      <c r="G562" s="20"/>
      <c r="H562" s="3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ht="15.75" customHeight="1" x14ac:dyDescent="0.25">
      <c r="A563" s="3"/>
      <c r="B563" s="3"/>
      <c r="C563" s="18"/>
      <c r="D563" s="18"/>
      <c r="E563" s="19"/>
      <c r="F563" s="19"/>
      <c r="G563" s="20"/>
      <c r="H563" s="3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spans="1:34" ht="15.75" customHeight="1" x14ac:dyDescent="0.25">
      <c r="A564" s="3"/>
      <c r="B564" s="3"/>
      <c r="C564" s="18"/>
      <c r="D564" s="18"/>
      <c r="E564" s="19"/>
      <c r="F564" s="19"/>
      <c r="G564" s="20"/>
      <c r="H564" s="3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spans="1:34" ht="15.75" customHeight="1" x14ac:dyDescent="0.25">
      <c r="A565" s="3"/>
      <c r="B565" s="3"/>
      <c r="C565" s="18"/>
      <c r="D565" s="18"/>
      <c r="E565" s="19"/>
      <c r="F565" s="19"/>
      <c r="G565" s="20"/>
      <c r="H565" s="3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spans="1:34" ht="15.75" customHeight="1" x14ac:dyDescent="0.25">
      <c r="A566" s="3"/>
      <c r="B566" s="3"/>
      <c r="C566" s="18"/>
      <c r="D566" s="18"/>
      <c r="E566" s="19"/>
      <c r="F566" s="19"/>
      <c r="G566" s="20"/>
      <c r="H566" s="3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spans="1:34" ht="15.75" customHeight="1" x14ac:dyDescent="0.25">
      <c r="A567" s="3"/>
      <c r="B567" s="3"/>
      <c r="C567" s="18"/>
      <c r="D567" s="18"/>
      <c r="E567" s="19"/>
      <c r="F567" s="19"/>
      <c r="G567" s="20"/>
      <c r="H567" s="3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spans="1:34" ht="15.75" customHeight="1" x14ac:dyDescent="0.25">
      <c r="A568" s="3"/>
      <c r="B568" s="3"/>
      <c r="C568" s="18"/>
      <c r="D568" s="18"/>
      <c r="E568" s="19"/>
      <c r="F568" s="19"/>
      <c r="G568" s="20"/>
      <c r="H568" s="3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spans="1:34" ht="15.75" customHeight="1" x14ac:dyDescent="0.25">
      <c r="A569" s="3"/>
      <c r="B569" s="3"/>
      <c r="C569" s="18"/>
      <c r="D569" s="18"/>
      <c r="E569" s="19"/>
      <c r="F569" s="19"/>
      <c r="G569" s="20"/>
      <c r="H569" s="3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spans="1:34" ht="15.75" customHeight="1" x14ac:dyDescent="0.25">
      <c r="A570" s="3"/>
      <c r="B570" s="3"/>
      <c r="C570" s="18"/>
      <c r="D570" s="18"/>
      <c r="E570" s="19"/>
      <c r="F570" s="19"/>
      <c r="G570" s="20"/>
      <c r="H570" s="3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spans="1:34" ht="15.75" customHeight="1" x14ac:dyDescent="0.25">
      <c r="A571" s="3"/>
      <c r="B571" s="3"/>
      <c r="C571" s="18"/>
      <c r="D571" s="18"/>
      <c r="E571" s="19"/>
      <c r="F571" s="19"/>
      <c r="G571" s="20"/>
      <c r="H571" s="3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spans="1:34" ht="15.75" customHeight="1" x14ac:dyDescent="0.25">
      <c r="A572" s="3"/>
      <c r="B572" s="3"/>
      <c r="C572" s="18"/>
      <c r="D572" s="18"/>
      <c r="E572" s="19"/>
      <c r="F572" s="19"/>
      <c r="G572" s="20"/>
      <c r="H572" s="3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spans="1:34" ht="15.75" customHeight="1" x14ac:dyDescent="0.25">
      <c r="A573" s="3"/>
      <c r="B573" s="3"/>
      <c r="C573" s="18"/>
      <c r="D573" s="18"/>
      <c r="E573" s="19"/>
      <c r="F573" s="19"/>
      <c r="G573" s="20"/>
      <c r="H573" s="3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spans="1:34" ht="15.75" customHeight="1" x14ac:dyDescent="0.25">
      <c r="A574" s="3"/>
      <c r="B574" s="3"/>
      <c r="C574" s="18"/>
      <c r="D574" s="18"/>
      <c r="E574" s="19"/>
      <c r="F574" s="19"/>
      <c r="G574" s="20"/>
      <c r="H574" s="3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spans="1:34" ht="15.75" customHeight="1" x14ac:dyDescent="0.25">
      <c r="A575" s="3"/>
      <c r="B575" s="3"/>
      <c r="C575" s="18"/>
      <c r="D575" s="18"/>
      <c r="E575" s="19"/>
      <c r="F575" s="19"/>
      <c r="G575" s="20"/>
      <c r="H575" s="3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spans="1:34" ht="15.75" customHeight="1" x14ac:dyDescent="0.25">
      <c r="A576" s="3"/>
      <c r="B576" s="3"/>
      <c r="C576" s="18"/>
      <c r="D576" s="18"/>
      <c r="E576" s="19"/>
      <c r="F576" s="19"/>
      <c r="G576" s="20"/>
      <c r="H576" s="3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spans="1:34" ht="15.75" customHeight="1" x14ac:dyDescent="0.25">
      <c r="A577" s="3"/>
      <c r="B577" s="3"/>
      <c r="C577" s="18"/>
      <c r="D577" s="18"/>
      <c r="E577" s="19"/>
      <c r="F577" s="19"/>
      <c r="G577" s="20"/>
      <c r="H577" s="3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spans="1:34" ht="15.75" customHeight="1" x14ac:dyDescent="0.25">
      <c r="A578" s="3"/>
      <c r="B578" s="3"/>
      <c r="C578" s="18"/>
      <c r="D578" s="18"/>
      <c r="E578" s="19"/>
      <c r="F578" s="19"/>
      <c r="G578" s="20"/>
      <c r="H578" s="3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spans="1:34" ht="15.75" customHeight="1" x14ac:dyDescent="0.25">
      <c r="A579" s="3"/>
      <c r="B579" s="3"/>
      <c r="C579" s="18"/>
      <c r="D579" s="18"/>
      <c r="E579" s="19"/>
      <c r="F579" s="19"/>
      <c r="G579" s="20"/>
      <c r="H579" s="3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spans="1:34" ht="15.75" customHeight="1" x14ac:dyDescent="0.25">
      <c r="A580" s="3"/>
      <c r="B580" s="3"/>
      <c r="C580" s="18"/>
      <c r="D580" s="18"/>
      <c r="E580" s="19"/>
      <c r="F580" s="19"/>
      <c r="G580" s="20"/>
      <c r="H580" s="3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spans="1:34" ht="15.75" customHeight="1" x14ac:dyDescent="0.25">
      <c r="A581" s="3"/>
      <c r="B581" s="3"/>
      <c r="C581" s="18"/>
      <c r="D581" s="18"/>
      <c r="E581" s="19"/>
      <c r="F581" s="19"/>
      <c r="G581" s="20"/>
      <c r="H581" s="3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spans="1:34" ht="15.75" customHeight="1" x14ac:dyDescent="0.25">
      <c r="A582" s="3"/>
      <c r="B582" s="3"/>
      <c r="C582" s="18"/>
      <c r="D582" s="18"/>
      <c r="E582" s="19"/>
      <c r="F582" s="19"/>
      <c r="G582" s="20"/>
      <c r="H582" s="3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spans="1:34" ht="15.75" customHeight="1" x14ac:dyDescent="0.25">
      <c r="A583" s="3"/>
      <c r="B583" s="3"/>
      <c r="C583" s="18"/>
      <c r="D583" s="18"/>
      <c r="E583" s="19"/>
      <c r="F583" s="19"/>
      <c r="G583" s="20"/>
      <c r="H583" s="3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spans="1:34" ht="15.75" customHeight="1" x14ac:dyDescent="0.25">
      <c r="A584" s="3"/>
      <c r="B584" s="3"/>
      <c r="C584" s="18"/>
      <c r="D584" s="18"/>
      <c r="E584" s="19"/>
      <c r="F584" s="19"/>
      <c r="G584" s="20"/>
      <c r="H584" s="3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ht="15.75" customHeight="1" x14ac:dyDescent="0.25">
      <c r="A585" s="3"/>
      <c r="B585" s="3"/>
      <c r="C585" s="18"/>
      <c r="D585" s="18"/>
      <c r="E585" s="19"/>
      <c r="F585" s="19"/>
      <c r="G585" s="20"/>
      <c r="H585" s="3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spans="1:34" ht="15.75" customHeight="1" x14ac:dyDescent="0.25">
      <c r="A586" s="3"/>
      <c r="B586" s="3"/>
      <c r="C586" s="18"/>
      <c r="D586" s="18"/>
      <c r="E586" s="19"/>
      <c r="F586" s="19"/>
      <c r="G586" s="20"/>
      <c r="H586" s="3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spans="1:34" ht="15.75" customHeight="1" x14ac:dyDescent="0.25">
      <c r="A587" s="3"/>
      <c r="B587" s="3"/>
      <c r="C587" s="18"/>
      <c r="D587" s="18"/>
      <c r="E587" s="19"/>
      <c r="F587" s="19"/>
      <c r="G587" s="20"/>
      <c r="H587" s="3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spans="1:34" ht="15.75" customHeight="1" x14ac:dyDescent="0.25">
      <c r="A588" s="3"/>
      <c r="B588" s="3"/>
      <c r="C588" s="18"/>
      <c r="D588" s="18"/>
      <c r="E588" s="19"/>
      <c r="F588" s="19"/>
      <c r="G588" s="20"/>
      <c r="H588" s="3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spans="1:34" ht="15.75" customHeight="1" x14ac:dyDescent="0.25">
      <c r="A589" s="3"/>
      <c r="B589" s="3"/>
      <c r="C589" s="18"/>
      <c r="D589" s="18"/>
      <c r="E589" s="19"/>
      <c r="F589" s="19"/>
      <c r="G589" s="20"/>
      <c r="H589" s="3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spans="1:34" ht="15.75" customHeight="1" x14ac:dyDescent="0.25">
      <c r="A590" s="3"/>
      <c r="B590" s="3"/>
      <c r="C590" s="18"/>
      <c r="D590" s="18"/>
      <c r="E590" s="19"/>
      <c r="F590" s="19"/>
      <c r="G590" s="20"/>
      <c r="H590" s="3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spans="1:34" ht="15.75" customHeight="1" x14ac:dyDescent="0.25">
      <c r="A591" s="3"/>
      <c r="B591" s="3"/>
      <c r="C591" s="18"/>
      <c r="D591" s="18"/>
      <c r="E591" s="19"/>
      <c r="F591" s="19"/>
      <c r="G591" s="20"/>
      <c r="H591" s="3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spans="1:34" ht="15.75" customHeight="1" x14ac:dyDescent="0.25">
      <c r="A592" s="3"/>
      <c r="B592" s="3"/>
      <c r="C592" s="18"/>
      <c r="D592" s="18"/>
      <c r="E592" s="19"/>
      <c r="F592" s="19"/>
      <c r="G592" s="20"/>
      <c r="H592" s="3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spans="1:34" ht="15.75" customHeight="1" x14ac:dyDescent="0.25">
      <c r="A593" s="3"/>
      <c r="B593" s="3"/>
      <c r="C593" s="18"/>
      <c r="D593" s="18"/>
      <c r="E593" s="19"/>
      <c r="F593" s="19"/>
      <c r="G593" s="20"/>
      <c r="H593" s="3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spans="1:34" ht="15.75" customHeight="1" x14ac:dyDescent="0.25">
      <c r="A594" s="3"/>
      <c r="B594" s="3"/>
      <c r="C594" s="18"/>
      <c r="D594" s="18"/>
      <c r="E594" s="19"/>
      <c r="F594" s="19"/>
      <c r="G594" s="20"/>
      <c r="H594" s="3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spans="1:34" ht="15.75" customHeight="1" x14ac:dyDescent="0.25">
      <c r="A595" s="3"/>
      <c r="B595" s="3"/>
      <c r="C595" s="18"/>
      <c r="D595" s="18"/>
      <c r="E595" s="19"/>
      <c r="F595" s="19"/>
      <c r="G595" s="20"/>
      <c r="H595" s="3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spans="1:34" ht="15.75" customHeight="1" x14ac:dyDescent="0.25">
      <c r="A596" s="3"/>
      <c r="B596" s="3"/>
      <c r="C596" s="18"/>
      <c r="D596" s="18"/>
      <c r="E596" s="19"/>
      <c r="F596" s="19"/>
      <c r="G596" s="20"/>
      <c r="H596" s="3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spans="1:34" ht="15.75" customHeight="1" x14ac:dyDescent="0.25">
      <c r="A597" s="3"/>
      <c r="B597" s="3"/>
      <c r="C597" s="18"/>
      <c r="D597" s="18"/>
      <c r="E597" s="19"/>
      <c r="F597" s="19"/>
      <c r="G597" s="20"/>
      <c r="H597" s="3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spans="1:34" ht="15.75" customHeight="1" x14ac:dyDescent="0.25">
      <c r="A598" s="3"/>
      <c r="B598" s="3"/>
      <c r="C598" s="18"/>
      <c r="D598" s="18"/>
      <c r="E598" s="19"/>
      <c r="F598" s="19"/>
      <c r="G598" s="20"/>
      <c r="H598" s="3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spans="1:34" ht="15.75" customHeight="1" x14ac:dyDescent="0.25">
      <c r="A599" s="3"/>
      <c r="B599" s="3"/>
      <c r="C599" s="18"/>
      <c r="D599" s="18"/>
      <c r="E599" s="19"/>
      <c r="F599" s="19"/>
      <c r="G599" s="20"/>
      <c r="H599" s="3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spans="1:34" ht="15.75" customHeight="1" x14ac:dyDescent="0.25">
      <c r="A600" s="3"/>
      <c r="B600" s="3"/>
      <c r="C600" s="18"/>
      <c r="D600" s="18"/>
      <c r="E600" s="19"/>
      <c r="F600" s="19"/>
      <c r="G600" s="20"/>
      <c r="H600" s="3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spans="1:34" ht="15.75" customHeight="1" x14ac:dyDescent="0.25">
      <c r="A601" s="3"/>
      <c r="B601" s="3"/>
      <c r="C601" s="18"/>
      <c r="D601" s="18"/>
      <c r="E601" s="19"/>
      <c r="F601" s="19"/>
      <c r="G601" s="20"/>
      <c r="H601" s="3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pans="1:34" ht="15.75" customHeight="1" x14ac:dyDescent="0.25">
      <c r="A602" s="3"/>
      <c r="B602" s="3"/>
      <c r="C602" s="18"/>
      <c r="D602" s="18"/>
      <c r="E602" s="19"/>
      <c r="F602" s="19"/>
      <c r="G602" s="20"/>
      <c r="H602" s="3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pans="1:34" ht="15.75" customHeight="1" x14ac:dyDescent="0.25">
      <c r="A603" s="3"/>
      <c r="B603" s="3"/>
      <c r="C603" s="18"/>
      <c r="D603" s="18"/>
      <c r="E603" s="19"/>
      <c r="F603" s="19"/>
      <c r="G603" s="20"/>
      <c r="H603" s="3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pans="1:34" ht="15.75" customHeight="1" x14ac:dyDescent="0.25">
      <c r="A604" s="3"/>
      <c r="B604" s="3"/>
      <c r="C604" s="18"/>
      <c r="D604" s="18"/>
      <c r="E604" s="19"/>
      <c r="F604" s="19"/>
      <c r="G604" s="20"/>
      <c r="H604" s="3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pans="1:34" ht="15.75" customHeight="1" x14ac:dyDescent="0.25">
      <c r="A605" s="3"/>
      <c r="B605" s="3"/>
      <c r="C605" s="18"/>
      <c r="D605" s="18"/>
      <c r="E605" s="19"/>
      <c r="F605" s="19"/>
      <c r="G605" s="20"/>
      <c r="H605" s="3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pans="1:34" ht="15.75" customHeight="1" x14ac:dyDescent="0.25">
      <c r="A606" s="3"/>
      <c r="B606" s="3"/>
      <c r="C606" s="18"/>
      <c r="D606" s="18"/>
      <c r="E606" s="19"/>
      <c r="F606" s="19"/>
      <c r="G606" s="20"/>
      <c r="H606" s="3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pans="1:34" ht="15.75" customHeight="1" x14ac:dyDescent="0.25">
      <c r="A607" s="3"/>
      <c r="B607" s="3"/>
      <c r="C607" s="18"/>
      <c r="D607" s="18"/>
      <c r="E607" s="19"/>
      <c r="F607" s="19"/>
      <c r="G607" s="20"/>
      <c r="H607" s="3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pans="1:34" ht="15.75" customHeight="1" x14ac:dyDescent="0.25">
      <c r="A608" s="3"/>
      <c r="B608" s="3"/>
      <c r="C608" s="18"/>
      <c r="D608" s="18"/>
      <c r="E608" s="19"/>
      <c r="F608" s="19"/>
      <c r="G608" s="20"/>
      <c r="H608" s="3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spans="1:34" ht="15.75" customHeight="1" x14ac:dyDescent="0.25">
      <c r="A609" s="3"/>
      <c r="B609" s="3"/>
      <c r="C609" s="18"/>
      <c r="D609" s="18"/>
      <c r="E609" s="19"/>
      <c r="F609" s="19"/>
      <c r="G609" s="20"/>
      <c r="H609" s="3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spans="1:34" ht="15.75" customHeight="1" x14ac:dyDescent="0.25">
      <c r="A610" s="3"/>
      <c r="B610" s="3"/>
      <c r="C610" s="18"/>
      <c r="D610" s="18"/>
      <c r="E610" s="19"/>
      <c r="F610" s="19"/>
      <c r="G610" s="20"/>
      <c r="H610" s="3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spans="1:34" ht="15.75" customHeight="1" x14ac:dyDescent="0.25">
      <c r="A611" s="3"/>
      <c r="B611" s="3"/>
      <c r="C611" s="18"/>
      <c r="D611" s="18"/>
      <c r="E611" s="19"/>
      <c r="F611" s="19"/>
      <c r="G611" s="20"/>
      <c r="H611" s="3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spans="1:34" ht="15.75" customHeight="1" x14ac:dyDescent="0.25">
      <c r="A612" s="3"/>
      <c r="B612" s="3"/>
      <c r="C612" s="18"/>
      <c r="D612" s="18"/>
      <c r="E612" s="19"/>
      <c r="F612" s="19"/>
      <c r="G612" s="20"/>
      <c r="H612" s="3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spans="1:34" ht="15.75" customHeight="1" x14ac:dyDescent="0.25">
      <c r="A613" s="3"/>
      <c r="B613" s="3"/>
      <c r="C613" s="18"/>
      <c r="D613" s="18"/>
      <c r="E613" s="19"/>
      <c r="F613" s="19"/>
      <c r="G613" s="20"/>
      <c r="H613" s="3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spans="1:34" ht="15.75" customHeight="1" x14ac:dyDescent="0.25">
      <c r="A614" s="3"/>
      <c r="B614" s="3"/>
      <c r="C614" s="18"/>
      <c r="D614" s="18"/>
      <c r="E614" s="19"/>
      <c r="F614" s="19"/>
      <c r="G614" s="20"/>
      <c r="H614" s="3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spans="1:34" ht="15.75" customHeight="1" x14ac:dyDescent="0.25">
      <c r="A615" s="3"/>
      <c r="B615" s="3"/>
      <c r="C615" s="18"/>
      <c r="D615" s="18"/>
      <c r="E615" s="19"/>
      <c r="F615" s="19"/>
      <c r="G615" s="20"/>
      <c r="H615" s="3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spans="1:34" ht="15.75" customHeight="1" x14ac:dyDescent="0.25">
      <c r="A616" s="3"/>
      <c r="B616" s="3"/>
      <c r="C616" s="18"/>
      <c r="D616" s="18"/>
      <c r="E616" s="19"/>
      <c r="F616" s="19"/>
      <c r="G616" s="20"/>
      <c r="H616" s="3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spans="1:34" ht="15.75" customHeight="1" x14ac:dyDescent="0.25">
      <c r="A617" s="3"/>
      <c r="B617" s="3"/>
      <c r="C617" s="18"/>
      <c r="D617" s="18"/>
      <c r="E617" s="19"/>
      <c r="F617" s="19"/>
      <c r="G617" s="20"/>
      <c r="H617" s="3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spans="1:34" ht="15.75" customHeight="1" x14ac:dyDescent="0.25">
      <c r="A618" s="3"/>
      <c r="B618" s="3"/>
      <c r="C618" s="18"/>
      <c r="D618" s="18"/>
      <c r="E618" s="19"/>
      <c r="F618" s="19"/>
      <c r="G618" s="20"/>
      <c r="H618" s="3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spans="1:34" ht="15.75" customHeight="1" x14ac:dyDescent="0.25">
      <c r="A619" s="3"/>
      <c r="B619" s="3"/>
      <c r="C619" s="18"/>
      <c r="D619" s="18"/>
      <c r="E619" s="19"/>
      <c r="F619" s="19"/>
      <c r="G619" s="20"/>
      <c r="H619" s="3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spans="1:34" ht="15.75" customHeight="1" x14ac:dyDescent="0.25">
      <c r="A620" s="3"/>
      <c r="B620" s="3"/>
      <c r="C620" s="18"/>
      <c r="D620" s="18"/>
      <c r="E620" s="19"/>
      <c r="F620" s="19"/>
      <c r="G620" s="20"/>
      <c r="H620" s="3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spans="1:34" ht="15.75" customHeight="1" x14ac:dyDescent="0.25">
      <c r="A621" s="3"/>
      <c r="B621" s="3"/>
      <c r="C621" s="18"/>
      <c r="D621" s="18"/>
      <c r="E621" s="19"/>
      <c r="F621" s="19"/>
      <c r="G621" s="20"/>
      <c r="H621" s="3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spans="1:34" ht="15.75" customHeight="1" x14ac:dyDescent="0.25">
      <c r="A622" s="3"/>
      <c r="B622" s="3"/>
      <c r="C622" s="18"/>
      <c r="D622" s="18"/>
      <c r="E622" s="19"/>
      <c r="F622" s="19"/>
      <c r="G622" s="20"/>
      <c r="H622" s="3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spans="1:34" ht="15.75" customHeight="1" x14ac:dyDescent="0.25">
      <c r="A623" s="3"/>
      <c r="B623" s="3"/>
      <c r="C623" s="18"/>
      <c r="D623" s="18"/>
      <c r="E623" s="19"/>
      <c r="F623" s="19"/>
      <c r="G623" s="20"/>
      <c r="H623" s="3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ht="15.75" customHeight="1" x14ac:dyDescent="0.25">
      <c r="A624" s="3"/>
      <c r="B624" s="3"/>
      <c r="C624" s="18"/>
      <c r="D624" s="18"/>
      <c r="E624" s="19"/>
      <c r="F624" s="19"/>
      <c r="G624" s="20"/>
      <c r="H624" s="3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spans="1:34" ht="15.75" customHeight="1" x14ac:dyDescent="0.25">
      <c r="A625" s="3"/>
      <c r="B625" s="3"/>
      <c r="C625" s="18"/>
      <c r="D625" s="18"/>
      <c r="E625" s="19"/>
      <c r="F625" s="19"/>
      <c r="G625" s="20"/>
      <c r="H625" s="3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spans="1:34" ht="15.75" customHeight="1" x14ac:dyDescent="0.25">
      <c r="A626" s="3"/>
      <c r="B626" s="3"/>
      <c r="C626" s="18"/>
      <c r="D626" s="18"/>
      <c r="E626" s="19"/>
      <c r="F626" s="19"/>
      <c r="G626" s="20"/>
      <c r="H626" s="3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spans="1:34" ht="15.75" customHeight="1" x14ac:dyDescent="0.25">
      <c r="A627" s="3"/>
      <c r="B627" s="3"/>
      <c r="C627" s="18"/>
      <c r="D627" s="18"/>
      <c r="E627" s="19"/>
      <c r="F627" s="19"/>
      <c r="G627" s="20"/>
      <c r="H627" s="3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spans="1:34" ht="15.75" customHeight="1" x14ac:dyDescent="0.25">
      <c r="A628" s="3"/>
      <c r="B628" s="3"/>
      <c r="C628" s="18"/>
      <c r="D628" s="18"/>
      <c r="E628" s="19"/>
      <c r="F628" s="19"/>
      <c r="G628" s="20"/>
      <c r="H628" s="3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spans="1:34" ht="15.75" customHeight="1" x14ac:dyDescent="0.25">
      <c r="A629" s="3"/>
      <c r="B629" s="3"/>
      <c r="C629" s="18"/>
      <c r="D629" s="18"/>
      <c r="E629" s="19"/>
      <c r="F629" s="19"/>
      <c r="G629" s="20"/>
      <c r="H629" s="3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ht="15.75" customHeight="1" x14ac:dyDescent="0.25">
      <c r="A630" s="3"/>
      <c r="B630" s="3"/>
      <c r="C630" s="18"/>
      <c r="D630" s="18"/>
      <c r="E630" s="19"/>
      <c r="F630" s="19"/>
      <c r="G630" s="20"/>
      <c r="H630" s="3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ht="15.75" customHeight="1" x14ac:dyDescent="0.25">
      <c r="A631" s="3"/>
      <c r="B631" s="3"/>
      <c r="C631" s="18"/>
      <c r="D631" s="18"/>
      <c r="E631" s="19"/>
      <c r="F631" s="19"/>
      <c r="G631" s="20"/>
      <c r="H631" s="3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ht="15.75" customHeight="1" x14ac:dyDescent="0.25">
      <c r="A632" s="3"/>
      <c r="B632" s="3"/>
      <c r="C632" s="18"/>
      <c r="D632" s="18"/>
      <c r="E632" s="19"/>
      <c r="F632" s="19"/>
      <c r="G632" s="20"/>
      <c r="H632" s="3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ht="15.75" customHeight="1" x14ac:dyDescent="0.25">
      <c r="A633" s="3"/>
      <c r="B633" s="3"/>
      <c r="C633" s="18"/>
      <c r="D633" s="18"/>
      <c r="E633" s="19"/>
      <c r="F633" s="19"/>
      <c r="G633" s="20"/>
      <c r="H633" s="3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ht="15.75" customHeight="1" x14ac:dyDescent="0.25">
      <c r="A634" s="3"/>
      <c r="B634" s="3"/>
      <c r="C634" s="18"/>
      <c r="D634" s="18"/>
      <c r="E634" s="19"/>
      <c r="F634" s="19"/>
      <c r="G634" s="20"/>
      <c r="H634" s="3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ht="15.75" customHeight="1" x14ac:dyDescent="0.25">
      <c r="A635" s="3"/>
      <c r="B635" s="3"/>
      <c r="C635" s="18"/>
      <c r="D635" s="18"/>
      <c r="E635" s="19"/>
      <c r="F635" s="19"/>
      <c r="G635" s="20"/>
      <c r="H635" s="3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ht="15.75" customHeight="1" x14ac:dyDescent="0.25">
      <c r="A636" s="3"/>
      <c r="B636" s="3"/>
      <c r="C636" s="18"/>
      <c r="D636" s="18"/>
      <c r="E636" s="19"/>
      <c r="F636" s="19"/>
      <c r="G636" s="20"/>
      <c r="H636" s="3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ht="15.75" customHeight="1" x14ac:dyDescent="0.25">
      <c r="A637" s="3"/>
      <c r="B637" s="3"/>
      <c r="C637" s="18"/>
      <c r="D637" s="18"/>
      <c r="E637" s="19"/>
      <c r="F637" s="19"/>
      <c r="G637" s="20"/>
      <c r="H637" s="3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ht="15.75" customHeight="1" x14ac:dyDescent="0.25">
      <c r="A638" s="3"/>
      <c r="B638" s="3"/>
      <c r="C638" s="18"/>
      <c r="D638" s="18"/>
      <c r="E638" s="19"/>
      <c r="F638" s="19"/>
      <c r="G638" s="20"/>
      <c r="H638" s="3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ht="15.75" customHeight="1" x14ac:dyDescent="0.25">
      <c r="A639" s="3"/>
      <c r="B639" s="3"/>
      <c r="C639" s="18"/>
      <c r="D639" s="18"/>
      <c r="E639" s="19"/>
      <c r="F639" s="19"/>
      <c r="G639" s="20"/>
      <c r="H639" s="3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ht="15.75" customHeight="1" x14ac:dyDescent="0.25">
      <c r="A640" s="3"/>
      <c r="B640" s="3"/>
      <c r="C640" s="18"/>
      <c r="D640" s="18"/>
      <c r="E640" s="19"/>
      <c r="F640" s="19"/>
      <c r="G640" s="20"/>
      <c r="H640" s="3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ht="15.75" customHeight="1" x14ac:dyDescent="0.25">
      <c r="A641" s="3"/>
      <c r="B641" s="3"/>
      <c r="C641" s="18"/>
      <c r="D641" s="18"/>
      <c r="E641" s="19"/>
      <c r="F641" s="19"/>
      <c r="G641" s="20"/>
      <c r="H641" s="3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ht="15.75" customHeight="1" x14ac:dyDescent="0.25">
      <c r="A642" s="3"/>
      <c r="B642" s="3"/>
      <c r="C642" s="18"/>
      <c r="D642" s="18"/>
      <c r="E642" s="19"/>
      <c r="F642" s="19"/>
      <c r="G642" s="20"/>
      <c r="H642" s="3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spans="1:34" ht="15.75" customHeight="1" x14ac:dyDescent="0.25">
      <c r="A643" s="3"/>
      <c r="B643" s="3"/>
      <c r="C643" s="18"/>
      <c r="D643" s="18"/>
      <c r="E643" s="19"/>
      <c r="F643" s="19"/>
      <c r="G643" s="20"/>
      <c r="H643" s="3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spans="1:34" ht="15.75" customHeight="1" x14ac:dyDescent="0.25">
      <c r="A644" s="3"/>
      <c r="B644" s="3"/>
      <c r="C644" s="18"/>
      <c r="D644" s="18"/>
      <c r="E644" s="19"/>
      <c r="F644" s="19"/>
      <c r="G644" s="20"/>
      <c r="H644" s="3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spans="1:34" ht="15.75" customHeight="1" x14ac:dyDescent="0.25">
      <c r="A645" s="3"/>
      <c r="B645" s="3"/>
      <c r="C645" s="18"/>
      <c r="D645" s="18"/>
      <c r="E645" s="19"/>
      <c r="F645" s="19"/>
      <c r="G645" s="20"/>
      <c r="H645" s="3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spans="1:34" ht="15.75" customHeight="1" x14ac:dyDescent="0.25">
      <c r="A646" s="3"/>
      <c r="B646" s="3"/>
      <c r="C646" s="18"/>
      <c r="D646" s="18"/>
      <c r="E646" s="19"/>
      <c r="F646" s="19"/>
      <c r="G646" s="20"/>
      <c r="H646" s="3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ht="15.75" customHeight="1" x14ac:dyDescent="0.25">
      <c r="A647" s="3"/>
      <c r="B647" s="3"/>
      <c r="C647" s="18"/>
      <c r="D647" s="18"/>
      <c r="E647" s="19"/>
      <c r="F647" s="19"/>
      <c r="G647" s="20"/>
      <c r="H647" s="3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spans="1:34" ht="15.75" customHeight="1" x14ac:dyDescent="0.25">
      <c r="A648" s="3"/>
      <c r="B648" s="3"/>
      <c r="C648" s="18"/>
      <c r="D648" s="18"/>
      <c r="E648" s="19"/>
      <c r="F648" s="19"/>
      <c r="G648" s="20"/>
      <c r="H648" s="3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spans="1:34" ht="15.75" customHeight="1" x14ac:dyDescent="0.25">
      <c r="A649" s="3"/>
      <c r="B649" s="3"/>
      <c r="C649" s="18"/>
      <c r="D649" s="18"/>
      <c r="E649" s="19"/>
      <c r="F649" s="19"/>
      <c r="G649" s="20"/>
      <c r="H649" s="3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spans="1:34" ht="15.75" customHeight="1" x14ac:dyDescent="0.25">
      <c r="A650" s="3"/>
      <c r="B650" s="3"/>
      <c r="C650" s="18"/>
      <c r="D650" s="18"/>
      <c r="E650" s="19"/>
      <c r="F650" s="19"/>
      <c r="G650" s="20"/>
      <c r="H650" s="3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spans="1:34" ht="15.75" customHeight="1" x14ac:dyDescent="0.25">
      <c r="A651" s="3"/>
      <c r="B651" s="3"/>
      <c r="C651" s="18"/>
      <c r="D651" s="18"/>
      <c r="E651" s="19"/>
      <c r="F651" s="19"/>
      <c r="G651" s="20"/>
      <c r="H651" s="3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spans="1:34" ht="15.75" customHeight="1" x14ac:dyDescent="0.25">
      <c r="A652" s="3"/>
      <c r="B652" s="3"/>
      <c r="C652" s="18"/>
      <c r="D652" s="18"/>
      <c r="E652" s="19"/>
      <c r="F652" s="19"/>
      <c r="G652" s="20"/>
      <c r="H652" s="3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spans="1:34" ht="15.75" customHeight="1" x14ac:dyDescent="0.25">
      <c r="A653" s="3"/>
      <c r="B653" s="3"/>
      <c r="C653" s="18"/>
      <c r="D653" s="18"/>
      <c r="E653" s="19"/>
      <c r="F653" s="19"/>
      <c r="G653" s="20"/>
      <c r="H653" s="3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spans="1:34" ht="15.75" customHeight="1" x14ac:dyDescent="0.25">
      <c r="A654" s="3"/>
      <c r="B654" s="3"/>
      <c r="C654" s="18"/>
      <c r="D654" s="18"/>
      <c r="E654" s="19"/>
      <c r="F654" s="19"/>
      <c r="G654" s="20"/>
      <c r="H654" s="3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spans="1:34" ht="15.75" customHeight="1" x14ac:dyDescent="0.25">
      <c r="A655" s="3"/>
      <c r="B655" s="3"/>
      <c r="C655" s="18"/>
      <c r="D655" s="18"/>
      <c r="E655" s="19"/>
      <c r="F655" s="19"/>
      <c r="G655" s="20"/>
      <c r="H655" s="3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spans="1:34" ht="15.75" customHeight="1" x14ac:dyDescent="0.25">
      <c r="A656" s="3"/>
      <c r="B656" s="3"/>
      <c r="C656" s="18"/>
      <c r="D656" s="18"/>
      <c r="E656" s="19"/>
      <c r="F656" s="19"/>
      <c r="G656" s="20"/>
      <c r="H656" s="3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spans="1:34" ht="15.75" customHeight="1" x14ac:dyDescent="0.25">
      <c r="A657" s="3"/>
      <c r="B657" s="3"/>
      <c r="C657" s="18"/>
      <c r="D657" s="18"/>
      <c r="E657" s="19"/>
      <c r="F657" s="19"/>
      <c r="G657" s="20"/>
      <c r="H657" s="3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spans="1:34" ht="15.75" customHeight="1" x14ac:dyDescent="0.25">
      <c r="A658" s="3"/>
      <c r="B658" s="3"/>
      <c r="C658" s="18"/>
      <c r="D658" s="18"/>
      <c r="E658" s="19"/>
      <c r="F658" s="19"/>
      <c r="G658" s="20"/>
      <c r="H658" s="3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spans="1:34" ht="15.75" customHeight="1" x14ac:dyDescent="0.25">
      <c r="A659" s="3"/>
      <c r="B659" s="3"/>
      <c r="C659" s="18"/>
      <c r="D659" s="18"/>
      <c r="E659" s="19"/>
      <c r="F659" s="19"/>
      <c r="G659" s="20"/>
      <c r="H659" s="3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spans="1:34" ht="15.75" customHeight="1" x14ac:dyDescent="0.25">
      <c r="A660" s="3"/>
      <c r="B660" s="3"/>
      <c r="C660" s="18"/>
      <c r="D660" s="18"/>
      <c r="E660" s="19"/>
      <c r="F660" s="19"/>
      <c r="G660" s="20"/>
      <c r="H660" s="3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ht="15.75" customHeight="1" x14ac:dyDescent="0.25">
      <c r="A661" s="3"/>
      <c r="B661" s="3"/>
      <c r="C661" s="18"/>
      <c r="D661" s="18"/>
      <c r="E661" s="19"/>
      <c r="F661" s="19"/>
      <c r="G661" s="20"/>
      <c r="H661" s="3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spans="1:34" ht="15.75" customHeight="1" x14ac:dyDescent="0.25">
      <c r="A662" s="3"/>
      <c r="B662" s="3"/>
      <c r="C662" s="18"/>
      <c r="D662" s="18"/>
      <c r="E662" s="19"/>
      <c r="F662" s="19"/>
      <c r="G662" s="20"/>
      <c r="H662" s="3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spans="1:34" ht="15.75" customHeight="1" x14ac:dyDescent="0.25">
      <c r="A663" s="3"/>
      <c r="B663" s="3"/>
      <c r="C663" s="18"/>
      <c r="D663" s="18"/>
      <c r="E663" s="19"/>
      <c r="F663" s="19"/>
      <c r="G663" s="20"/>
      <c r="H663" s="3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spans="1:34" ht="15.75" customHeight="1" x14ac:dyDescent="0.25">
      <c r="A664" s="3"/>
      <c r="B664" s="3"/>
      <c r="C664" s="18"/>
      <c r="D664" s="18"/>
      <c r="E664" s="19"/>
      <c r="F664" s="19"/>
      <c r="G664" s="20"/>
      <c r="H664" s="3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spans="1:34" ht="15.75" customHeight="1" x14ac:dyDescent="0.25">
      <c r="A665" s="3"/>
      <c r="B665" s="3"/>
      <c r="C665" s="18"/>
      <c r="D665" s="18"/>
      <c r="E665" s="19"/>
      <c r="F665" s="19"/>
      <c r="G665" s="20"/>
      <c r="H665" s="3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spans="1:34" ht="15.75" customHeight="1" x14ac:dyDescent="0.25">
      <c r="A666" s="3"/>
      <c r="B666" s="3"/>
      <c r="C666" s="18"/>
      <c r="D666" s="18"/>
      <c r="E666" s="19"/>
      <c r="F666" s="19"/>
      <c r="G666" s="20"/>
      <c r="H666" s="3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spans="1:34" ht="15.75" customHeight="1" x14ac:dyDescent="0.25">
      <c r="A667" s="3"/>
      <c r="B667" s="3"/>
      <c r="C667" s="18"/>
      <c r="D667" s="18"/>
      <c r="E667" s="19"/>
      <c r="F667" s="19"/>
      <c r="G667" s="20"/>
      <c r="H667" s="3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spans="1:34" ht="15.75" customHeight="1" x14ac:dyDescent="0.25">
      <c r="A668" s="3"/>
      <c r="B668" s="3"/>
      <c r="C668" s="18"/>
      <c r="D668" s="18"/>
      <c r="E668" s="19"/>
      <c r="F668" s="19"/>
      <c r="G668" s="20"/>
      <c r="H668" s="3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spans="1:34" ht="15.75" customHeight="1" x14ac:dyDescent="0.25">
      <c r="A669" s="3"/>
      <c r="B669" s="3"/>
      <c r="C669" s="18"/>
      <c r="D669" s="18"/>
      <c r="E669" s="19"/>
      <c r="F669" s="19"/>
      <c r="G669" s="20"/>
      <c r="H669" s="3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spans="1:34" ht="15.75" customHeight="1" x14ac:dyDescent="0.25">
      <c r="A670" s="3"/>
      <c r="B670" s="3"/>
      <c r="C670" s="18"/>
      <c r="D670" s="18"/>
      <c r="E670" s="19"/>
      <c r="F670" s="19"/>
      <c r="G670" s="20"/>
      <c r="H670" s="3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spans="1:34" ht="15.75" customHeight="1" x14ac:dyDescent="0.25">
      <c r="A671" s="3"/>
      <c r="B671" s="3"/>
      <c r="C671" s="18"/>
      <c r="D671" s="18"/>
      <c r="E671" s="19"/>
      <c r="F671" s="19"/>
      <c r="G671" s="20"/>
      <c r="H671" s="3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spans="1:34" ht="15.75" customHeight="1" x14ac:dyDescent="0.25">
      <c r="A672" s="3"/>
      <c r="B672" s="3"/>
      <c r="C672" s="18"/>
      <c r="D672" s="18"/>
      <c r="E672" s="19"/>
      <c r="F672" s="19"/>
      <c r="G672" s="20"/>
      <c r="H672" s="3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spans="1:34" ht="15.75" customHeight="1" x14ac:dyDescent="0.25">
      <c r="A673" s="3"/>
      <c r="B673" s="3"/>
      <c r="C673" s="18"/>
      <c r="D673" s="18"/>
      <c r="E673" s="19"/>
      <c r="F673" s="19"/>
      <c r="G673" s="20"/>
      <c r="H673" s="3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spans="1:34" ht="15.75" customHeight="1" x14ac:dyDescent="0.25">
      <c r="A674" s="3"/>
      <c r="B674" s="3"/>
      <c r="C674" s="18"/>
      <c r="D674" s="18"/>
      <c r="E674" s="19"/>
      <c r="F674" s="19"/>
      <c r="G674" s="20"/>
      <c r="H674" s="3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spans="1:34" ht="15.75" customHeight="1" x14ac:dyDescent="0.25">
      <c r="A675" s="3"/>
      <c r="B675" s="3"/>
      <c r="C675" s="18"/>
      <c r="D675" s="18"/>
      <c r="E675" s="19"/>
      <c r="F675" s="19"/>
      <c r="G675" s="20"/>
      <c r="H675" s="3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spans="1:34" ht="15.75" customHeight="1" x14ac:dyDescent="0.25">
      <c r="A676" s="3"/>
      <c r="B676" s="3"/>
      <c r="C676" s="18"/>
      <c r="D676" s="18"/>
      <c r="E676" s="19"/>
      <c r="F676" s="19"/>
      <c r="G676" s="20"/>
      <c r="H676" s="3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spans="1:34" ht="15.75" customHeight="1" x14ac:dyDescent="0.25">
      <c r="A677" s="3"/>
      <c r="B677" s="3"/>
      <c r="C677" s="18"/>
      <c r="D677" s="18"/>
      <c r="E677" s="19"/>
      <c r="F677" s="19"/>
      <c r="G677" s="20"/>
      <c r="H677" s="3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spans="1:34" ht="15.75" customHeight="1" x14ac:dyDescent="0.25">
      <c r="A678" s="3"/>
      <c r="B678" s="3"/>
      <c r="C678" s="18"/>
      <c r="D678" s="18"/>
      <c r="E678" s="19"/>
      <c r="F678" s="19"/>
      <c r="G678" s="20"/>
      <c r="H678" s="3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spans="1:34" ht="15.75" customHeight="1" x14ac:dyDescent="0.25">
      <c r="A679" s="3"/>
      <c r="B679" s="3"/>
      <c r="C679" s="18"/>
      <c r="D679" s="18"/>
      <c r="E679" s="19"/>
      <c r="F679" s="19"/>
      <c r="G679" s="20"/>
      <c r="H679" s="3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spans="1:34" ht="15.75" customHeight="1" x14ac:dyDescent="0.25">
      <c r="A680" s="3"/>
      <c r="B680" s="3"/>
      <c r="C680" s="18"/>
      <c r="D680" s="18"/>
      <c r="E680" s="19"/>
      <c r="F680" s="19"/>
      <c r="G680" s="20"/>
      <c r="H680" s="3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spans="1:34" ht="15.75" customHeight="1" x14ac:dyDescent="0.25">
      <c r="A681" s="3"/>
      <c r="B681" s="3"/>
      <c r="C681" s="18"/>
      <c r="D681" s="18"/>
      <c r="E681" s="19"/>
      <c r="F681" s="19"/>
      <c r="G681" s="20"/>
      <c r="H681" s="3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spans="1:34" ht="15.75" customHeight="1" x14ac:dyDescent="0.25">
      <c r="A682" s="3"/>
      <c r="B682" s="3"/>
      <c r="C682" s="18"/>
      <c r="D682" s="18"/>
      <c r="E682" s="19"/>
      <c r="F682" s="19"/>
      <c r="G682" s="20"/>
      <c r="H682" s="3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spans="1:34" ht="15.75" customHeight="1" x14ac:dyDescent="0.25">
      <c r="A683" s="3"/>
      <c r="B683" s="3"/>
      <c r="C683" s="18"/>
      <c r="D683" s="18"/>
      <c r="E683" s="19"/>
      <c r="F683" s="19"/>
      <c r="G683" s="20"/>
      <c r="H683" s="3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spans="1:34" ht="15.75" customHeight="1" x14ac:dyDescent="0.25">
      <c r="A684" s="3"/>
      <c r="B684" s="3"/>
      <c r="C684" s="18"/>
      <c r="D684" s="18"/>
      <c r="E684" s="19"/>
      <c r="F684" s="19"/>
      <c r="G684" s="20"/>
      <c r="H684" s="3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spans="1:34" ht="15.75" customHeight="1" x14ac:dyDescent="0.25">
      <c r="A685" s="3"/>
      <c r="B685" s="3"/>
      <c r="C685" s="18"/>
      <c r="D685" s="18"/>
      <c r="E685" s="19"/>
      <c r="F685" s="19"/>
      <c r="G685" s="20"/>
      <c r="H685" s="3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spans="1:34" ht="15.75" customHeight="1" x14ac:dyDescent="0.25">
      <c r="A686" s="3"/>
      <c r="B686" s="3"/>
      <c r="C686" s="18"/>
      <c r="D686" s="18"/>
      <c r="E686" s="19"/>
      <c r="F686" s="19"/>
      <c r="G686" s="20"/>
      <c r="H686" s="3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spans="1:34" ht="15.75" customHeight="1" x14ac:dyDescent="0.25">
      <c r="A687" s="3"/>
      <c r="B687" s="3"/>
      <c r="C687" s="18"/>
      <c r="D687" s="18"/>
      <c r="E687" s="19"/>
      <c r="F687" s="19"/>
      <c r="G687" s="20"/>
      <c r="H687" s="3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spans="1:34" ht="15.75" customHeight="1" x14ac:dyDescent="0.25">
      <c r="A688" s="3"/>
      <c r="B688" s="3"/>
      <c r="C688" s="18"/>
      <c r="D688" s="18"/>
      <c r="E688" s="19"/>
      <c r="F688" s="19"/>
      <c r="G688" s="20"/>
      <c r="H688" s="3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5.75" customHeight="1" x14ac:dyDescent="0.25">
      <c r="A689" s="3"/>
      <c r="B689" s="3"/>
      <c r="C689" s="18"/>
      <c r="D689" s="18"/>
      <c r="E689" s="19"/>
      <c r="F689" s="19"/>
      <c r="G689" s="20"/>
      <c r="H689" s="3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spans="1:34" ht="15.75" customHeight="1" x14ac:dyDescent="0.25">
      <c r="A690" s="3"/>
      <c r="B690" s="3"/>
      <c r="C690" s="18"/>
      <c r="D690" s="18"/>
      <c r="E690" s="19"/>
      <c r="F690" s="19"/>
      <c r="G690" s="20"/>
      <c r="H690" s="3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spans="1:34" ht="15.75" customHeight="1" x14ac:dyDescent="0.25">
      <c r="A691" s="3"/>
      <c r="B691" s="3"/>
      <c r="C691" s="18"/>
      <c r="D691" s="18"/>
      <c r="E691" s="19"/>
      <c r="F691" s="19"/>
      <c r="G691" s="20"/>
      <c r="H691" s="3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spans="1:34" ht="15.75" customHeight="1" x14ac:dyDescent="0.25">
      <c r="A692" s="3"/>
      <c r="B692" s="3"/>
      <c r="C692" s="18"/>
      <c r="D692" s="18"/>
      <c r="E692" s="19"/>
      <c r="F692" s="19"/>
      <c r="G692" s="20"/>
      <c r="H692" s="3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spans="1:34" ht="15.75" customHeight="1" x14ac:dyDescent="0.25">
      <c r="A693" s="3"/>
      <c r="B693" s="3"/>
      <c r="C693" s="18"/>
      <c r="D693" s="18"/>
      <c r="E693" s="19"/>
      <c r="F693" s="19"/>
      <c r="G693" s="20"/>
      <c r="H693" s="3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spans="1:34" ht="15.75" customHeight="1" x14ac:dyDescent="0.25">
      <c r="A694" s="3"/>
      <c r="B694" s="3"/>
      <c r="C694" s="18"/>
      <c r="D694" s="18"/>
      <c r="E694" s="19"/>
      <c r="F694" s="19"/>
      <c r="G694" s="20"/>
      <c r="H694" s="3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spans="1:34" ht="15.75" customHeight="1" x14ac:dyDescent="0.25">
      <c r="A695" s="3"/>
      <c r="B695" s="3"/>
      <c r="C695" s="18"/>
      <c r="D695" s="18"/>
      <c r="E695" s="19"/>
      <c r="F695" s="19"/>
      <c r="G695" s="20"/>
      <c r="H695" s="3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spans="1:34" ht="15.75" customHeight="1" x14ac:dyDescent="0.25">
      <c r="A696" s="3"/>
      <c r="B696" s="3"/>
      <c r="C696" s="18"/>
      <c r="D696" s="18"/>
      <c r="E696" s="19"/>
      <c r="F696" s="19"/>
      <c r="G696" s="20"/>
      <c r="H696" s="3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spans="1:34" ht="15.75" customHeight="1" x14ac:dyDescent="0.25">
      <c r="A697" s="3"/>
      <c r="B697" s="3"/>
      <c r="C697" s="18"/>
      <c r="D697" s="18"/>
      <c r="E697" s="19"/>
      <c r="F697" s="19"/>
      <c r="G697" s="20"/>
      <c r="H697" s="3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spans="1:34" ht="15.75" customHeight="1" x14ac:dyDescent="0.25">
      <c r="A698" s="3"/>
      <c r="B698" s="3"/>
      <c r="C698" s="18"/>
      <c r="D698" s="18"/>
      <c r="E698" s="19"/>
      <c r="F698" s="19"/>
      <c r="G698" s="20"/>
      <c r="H698" s="3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spans="1:34" ht="15.75" customHeight="1" x14ac:dyDescent="0.25">
      <c r="A699" s="3"/>
      <c r="B699" s="3"/>
      <c r="C699" s="18"/>
      <c r="D699" s="18"/>
      <c r="E699" s="19"/>
      <c r="F699" s="19"/>
      <c r="G699" s="20"/>
      <c r="H699" s="3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spans="1:34" ht="15.75" customHeight="1" x14ac:dyDescent="0.25">
      <c r="A700" s="3"/>
      <c r="B700" s="3"/>
      <c r="C700" s="18"/>
      <c r="D700" s="18"/>
      <c r="E700" s="19"/>
      <c r="F700" s="19"/>
      <c r="G700" s="20"/>
      <c r="H700" s="3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spans="1:34" ht="15.75" customHeight="1" x14ac:dyDescent="0.25">
      <c r="A701" s="3"/>
      <c r="B701" s="3"/>
      <c r="C701" s="18"/>
      <c r="D701" s="18"/>
      <c r="E701" s="19"/>
      <c r="F701" s="19"/>
      <c r="G701" s="20"/>
      <c r="H701" s="3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spans="1:34" ht="15.75" customHeight="1" x14ac:dyDescent="0.25">
      <c r="A702" s="3"/>
      <c r="B702" s="3"/>
      <c r="C702" s="18"/>
      <c r="D702" s="18"/>
      <c r="E702" s="19"/>
      <c r="F702" s="19"/>
      <c r="G702" s="20"/>
      <c r="H702" s="3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spans="1:34" ht="15.75" customHeight="1" x14ac:dyDescent="0.25">
      <c r="A703" s="3"/>
      <c r="B703" s="3"/>
      <c r="C703" s="18"/>
      <c r="D703" s="18"/>
      <c r="E703" s="19"/>
      <c r="F703" s="19"/>
      <c r="G703" s="20"/>
      <c r="H703" s="3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spans="1:34" ht="15.75" customHeight="1" x14ac:dyDescent="0.25">
      <c r="A704" s="3"/>
      <c r="B704" s="3"/>
      <c r="C704" s="18"/>
      <c r="D704" s="18"/>
      <c r="E704" s="19"/>
      <c r="F704" s="19"/>
      <c r="G704" s="20"/>
      <c r="H704" s="3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spans="1:34" ht="15.75" customHeight="1" x14ac:dyDescent="0.25">
      <c r="A705" s="3"/>
      <c r="B705" s="3"/>
      <c r="C705" s="18"/>
      <c r="D705" s="18"/>
      <c r="E705" s="19"/>
      <c r="F705" s="19"/>
      <c r="G705" s="20"/>
      <c r="H705" s="3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spans="1:34" ht="15.75" customHeight="1" x14ac:dyDescent="0.25">
      <c r="A706" s="3"/>
      <c r="B706" s="3"/>
      <c r="C706" s="18"/>
      <c r="D706" s="18"/>
      <c r="E706" s="19"/>
      <c r="F706" s="19"/>
      <c r="G706" s="20"/>
      <c r="H706" s="3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pans="1:34" ht="15.75" customHeight="1" x14ac:dyDescent="0.25">
      <c r="A707" s="3"/>
      <c r="B707" s="3"/>
      <c r="C707" s="18"/>
      <c r="D707" s="18"/>
      <c r="E707" s="19"/>
      <c r="F707" s="19"/>
      <c r="G707" s="20"/>
      <c r="H707" s="3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pans="1:34" ht="15.75" customHeight="1" x14ac:dyDescent="0.25">
      <c r="A708" s="3"/>
      <c r="B708" s="3"/>
      <c r="C708" s="18"/>
      <c r="D708" s="18"/>
      <c r="E708" s="19"/>
      <c r="F708" s="19"/>
      <c r="G708" s="20"/>
      <c r="H708" s="3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5.75" customHeight="1" x14ac:dyDescent="0.25">
      <c r="A709" s="3"/>
      <c r="B709" s="3"/>
      <c r="C709" s="18"/>
      <c r="D709" s="18"/>
      <c r="E709" s="19"/>
      <c r="F709" s="19"/>
      <c r="G709" s="20"/>
      <c r="H709" s="3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pans="1:34" ht="15.75" customHeight="1" x14ac:dyDescent="0.25">
      <c r="A710" s="3"/>
      <c r="B710" s="3"/>
      <c r="C710" s="18"/>
      <c r="D710" s="18"/>
      <c r="E710" s="19"/>
      <c r="F710" s="19"/>
      <c r="G710" s="20"/>
      <c r="H710" s="3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pans="1:34" ht="15.75" customHeight="1" x14ac:dyDescent="0.25">
      <c r="A711" s="3"/>
      <c r="B711" s="3"/>
      <c r="C711" s="18"/>
      <c r="D711" s="18"/>
      <c r="E711" s="19"/>
      <c r="F711" s="19"/>
      <c r="G711" s="20"/>
      <c r="H711" s="3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5.75" customHeight="1" x14ac:dyDescent="0.25">
      <c r="A712" s="3"/>
      <c r="B712" s="3"/>
      <c r="C712" s="18"/>
      <c r="D712" s="18"/>
      <c r="E712" s="19"/>
      <c r="F712" s="19"/>
      <c r="G712" s="20"/>
      <c r="H712" s="3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5.75" customHeight="1" x14ac:dyDescent="0.25">
      <c r="A713" s="3"/>
      <c r="B713" s="3"/>
      <c r="C713" s="18"/>
      <c r="D713" s="18"/>
      <c r="E713" s="19"/>
      <c r="F713" s="19"/>
      <c r="G713" s="20"/>
      <c r="H713" s="3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pans="1:34" ht="15.75" customHeight="1" x14ac:dyDescent="0.25">
      <c r="A714" s="3"/>
      <c r="B714" s="3"/>
      <c r="C714" s="18"/>
      <c r="D714" s="18"/>
      <c r="E714" s="19"/>
      <c r="F714" s="19"/>
      <c r="G714" s="20"/>
      <c r="H714" s="3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pans="1:34" ht="15.75" customHeight="1" x14ac:dyDescent="0.25">
      <c r="A715" s="3"/>
      <c r="B715" s="3"/>
      <c r="C715" s="18"/>
      <c r="D715" s="18"/>
      <c r="E715" s="19"/>
      <c r="F715" s="19"/>
      <c r="G715" s="20"/>
      <c r="H715" s="3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pans="1:34" ht="15.75" customHeight="1" x14ac:dyDescent="0.25">
      <c r="A716" s="3"/>
      <c r="B716" s="3"/>
      <c r="C716" s="18"/>
      <c r="D716" s="18"/>
      <c r="E716" s="19"/>
      <c r="F716" s="19"/>
      <c r="G716" s="20"/>
      <c r="H716" s="3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pans="1:34" ht="15.75" customHeight="1" x14ac:dyDescent="0.25">
      <c r="A717" s="3"/>
      <c r="B717" s="3"/>
      <c r="C717" s="18"/>
      <c r="D717" s="18"/>
      <c r="E717" s="19"/>
      <c r="F717" s="19"/>
      <c r="G717" s="20"/>
      <c r="H717" s="3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pans="1:34" ht="15.75" customHeight="1" x14ac:dyDescent="0.25">
      <c r="A718" s="3"/>
      <c r="B718" s="3"/>
      <c r="C718" s="18"/>
      <c r="D718" s="18"/>
      <c r="E718" s="19"/>
      <c r="F718" s="19"/>
      <c r="G718" s="20"/>
      <c r="H718" s="3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pans="1:34" ht="15.75" customHeight="1" x14ac:dyDescent="0.25">
      <c r="A719" s="3"/>
      <c r="B719" s="3"/>
      <c r="C719" s="18"/>
      <c r="D719" s="18"/>
      <c r="E719" s="19"/>
      <c r="F719" s="19"/>
      <c r="G719" s="20"/>
      <c r="H719" s="3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pans="1:34" ht="15.75" customHeight="1" x14ac:dyDescent="0.25">
      <c r="A720" s="3"/>
      <c r="B720" s="3"/>
      <c r="C720" s="18"/>
      <c r="D720" s="18"/>
      <c r="E720" s="19"/>
      <c r="F720" s="19"/>
      <c r="G720" s="20"/>
      <c r="H720" s="3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pans="1:34" ht="15.75" customHeight="1" x14ac:dyDescent="0.25">
      <c r="A721" s="3"/>
      <c r="B721" s="3"/>
      <c r="C721" s="18"/>
      <c r="D721" s="18"/>
      <c r="E721" s="19"/>
      <c r="F721" s="19"/>
      <c r="G721" s="20"/>
      <c r="H721" s="3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pans="1:34" ht="15.75" customHeight="1" x14ac:dyDescent="0.25">
      <c r="A722" s="3"/>
      <c r="B722" s="3"/>
      <c r="C722" s="18"/>
      <c r="D722" s="18"/>
      <c r="E722" s="19"/>
      <c r="F722" s="19"/>
      <c r="G722" s="20"/>
      <c r="H722" s="3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pans="1:34" ht="15.75" customHeight="1" x14ac:dyDescent="0.25">
      <c r="A723" s="3"/>
      <c r="B723" s="3"/>
      <c r="C723" s="18"/>
      <c r="D723" s="18"/>
      <c r="E723" s="19"/>
      <c r="F723" s="19"/>
      <c r="G723" s="20"/>
      <c r="H723" s="3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pans="1:34" ht="15.75" customHeight="1" x14ac:dyDescent="0.25">
      <c r="A724" s="3"/>
      <c r="B724" s="3"/>
      <c r="C724" s="18"/>
      <c r="D724" s="18"/>
      <c r="E724" s="19"/>
      <c r="F724" s="19"/>
      <c r="G724" s="20"/>
      <c r="H724" s="3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pans="1:34" ht="15.75" customHeight="1" x14ac:dyDescent="0.25">
      <c r="A725" s="3"/>
      <c r="B725" s="3"/>
      <c r="C725" s="18"/>
      <c r="D725" s="18"/>
      <c r="E725" s="19"/>
      <c r="F725" s="19"/>
      <c r="G725" s="20"/>
      <c r="H725" s="3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5.75" customHeight="1" x14ac:dyDescent="0.25">
      <c r="A726" s="3"/>
      <c r="B726" s="3"/>
      <c r="C726" s="18"/>
      <c r="D726" s="18"/>
      <c r="E726" s="19"/>
      <c r="F726" s="19"/>
      <c r="G726" s="20"/>
      <c r="H726" s="3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5.75" customHeight="1" x14ac:dyDescent="0.25">
      <c r="A727" s="3"/>
      <c r="B727" s="3"/>
      <c r="C727" s="18"/>
      <c r="D727" s="18"/>
      <c r="E727" s="19"/>
      <c r="F727" s="19"/>
      <c r="G727" s="20"/>
      <c r="H727" s="3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pans="1:34" ht="15.75" customHeight="1" x14ac:dyDescent="0.25">
      <c r="A728" s="3"/>
      <c r="B728" s="3"/>
      <c r="C728" s="18"/>
      <c r="D728" s="18"/>
      <c r="E728" s="19"/>
      <c r="F728" s="19"/>
      <c r="G728" s="20"/>
      <c r="H728" s="3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pans="1:34" ht="15.75" customHeight="1" x14ac:dyDescent="0.25">
      <c r="A729" s="3"/>
      <c r="B729" s="3"/>
      <c r="C729" s="18"/>
      <c r="D729" s="18"/>
      <c r="E729" s="19"/>
      <c r="F729" s="19"/>
      <c r="G729" s="20"/>
      <c r="H729" s="3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pans="1:34" ht="15.75" customHeight="1" x14ac:dyDescent="0.25">
      <c r="A730" s="3"/>
      <c r="B730" s="3"/>
      <c r="C730" s="18"/>
      <c r="D730" s="18"/>
      <c r="E730" s="19"/>
      <c r="F730" s="19"/>
      <c r="G730" s="20"/>
      <c r="H730" s="3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pans="1:34" ht="15.75" customHeight="1" x14ac:dyDescent="0.25">
      <c r="A731" s="3"/>
      <c r="B731" s="3"/>
      <c r="C731" s="18"/>
      <c r="D731" s="18"/>
      <c r="E731" s="19"/>
      <c r="F731" s="19"/>
      <c r="G731" s="20"/>
      <c r="H731" s="3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5.75" customHeight="1" x14ac:dyDescent="0.25">
      <c r="A732" s="3"/>
      <c r="B732" s="3"/>
      <c r="C732" s="18"/>
      <c r="D732" s="18"/>
      <c r="E732" s="19"/>
      <c r="F732" s="19"/>
      <c r="G732" s="20"/>
      <c r="H732" s="3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5.75" customHeight="1" x14ac:dyDescent="0.25">
      <c r="A733" s="3"/>
      <c r="B733" s="3"/>
      <c r="C733" s="18"/>
      <c r="D733" s="18"/>
      <c r="E733" s="19"/>
      <c r="F733" s="19"/>
      <c r="G733" s="20"/>
      <c r="H733" s="3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5.75" customHeight="1" x14ac:dyDescent="0.25">
      <c r="A734" s="3"/>
      <c r="B734" s="3"/>
      <c r="C734" s="18"/>
      <c r="D734" s="18"/>
      <c r="E734" s="19"/>
      <c r="F734" s="19"/>
      <c r="G734" s="20"/>
      <c r="H734" s="3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5.75" customHeight="1" x14ac:dyDescent="0.25">
      <c r="A735" s="3"/>
      <c r="B735" s="3"/>
      <c r="C735" s="18"/>
      <c r="D735" s="18"/>
      <c r="E735" s="19"/>
      <c r="F735" s="19"/>
      <c r="G735" s="20"/>
      <c r="H735" s="3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5.75" customHeight="1" x14ac:dyDescent="0.25">
      <c r="A736" s="3"/>
      <c r="B736" s="3"/>
      <c r="C736" s="18"/>
      <c r="D736" s="18"/>
      <c r="E736" s="19"/>
      <c r="F736" s="19"/>
      <c r="G736" s="20"/>
      <c r="H736" s="3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5.75" customHeight="1" x14ac:dyDescent="0.25">
      <c r="A737" s="3"/>
      <c r="B737" s="3"/>
      <c r="C737" s="18"/>
      <c r="D737" s="18"/>
      <c r="E737" s="19"/>
      <c r="F737" s="19"/>
      <c r="G737" s="20"/>
      <c r="H737" s="3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spans="1:34" ht="15.75" customHeight="1" x14ac:dyDescent="0.25">
      <c r="A738" s="3"/>
      <c r="B738" s="3"/>
      <c r="C738" s="18"/>
      <c r="D738" s="18"/>
      <c r="E738" s="19"/>
      <c r="F738" s="19"/>
      <c r="G738" s="20"/>
      <c r="H738" s="3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spans="1:34" ht="15.75" customHeight="1" x14ac:dyDescent="0.25">
      <c r="A739" s="3"/>
      <c r="B739" s="3"/>
      <c r="C739" s="18"/>
      <c r="D739" s="18"/>
      <c r="E739" s="19"/>
      <c r="F739" s="19"/>
      <c r="G739" s="20"/>
      <c r="H739" s="3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5.75" customHeight="1" x14ac:dyDescent="0.25">
      <c r="A740" s="3"/>
      <c r="B740" s="3"/>
      <c r="C740" s="18"/>
      <c r="D740" s="18"/>
      <c r="E740" s="19"/>
      <c r="F740" s="19"/>
      <c r="G740" s="20"/>
      <c r="H740" s="3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5.75" customHeight="1" x14ac:dyDescent="0.25">
      <c r="A741" s="3"/>
      <c r="B741" s="3"/>
      <c r="C741" s="18"/>
      <c r="D741" s="18"/>
      <c r="E741" s="19"/>
      <c r="F741" s="19"/>
      <c r="G741" s="20"/>
      <c r="H741" s="3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5.75" customHeight="1" x14ac:dyDescent="0.25">
      <c r="A742" s="3"/>
      <c r="B742" s="3"/>
      <c r="C742" s="18"/>
      <c r="D742" s="18"/>
      <c r="E742" s="19"/>
      <c r="F742" s="19"/>
      <c r="G742" s="20"/>
      <c r="H742" s="3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5.75" customHeight="1" x14ac:dyDescent="0.25">
      <c r="A743" s="3"/>
      <c r="B743" s="3"/>
      <c r="C743" s="18"/>
      <c r="D743" s="18"/>
      <c r="E743" s="19"/>
      <c r="F743" s="19"/>
      <c r="G743" s="20"/>
      <c r="H743" s="3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5.75" customHeight="1" x14ac:dyDescent="0.25">
      <c r="A744" s="3"/>
      <c r="B744" s="3"/>
      <c r="C744" s="18"/>
      <c r="D744" s="18"/>
      <c r="E744" s="19"/>
      <c r="F744" s="19"/>
      <c r="G744" s="20"/>
      <c r="H744" s="3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5.75" customHeight="1" x14ac:dyDescent="0.25">
      <c r="A745" s="3"/>
      <c r="B745" s="3"/>
      <c r="C745" s="18"/>
      <c r="D745" s="18"/>
      <c r="E745" s="19"/>
      <c r="F745" s="19"/>
      <c r="G745" s="20"/>
      <c r="H745" s="3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spans="1:34" ht="15.75" customHeight="1" x14ac:dyDescent="0.25">
      <c r="A746" s="3"/>
      <c r="B746" s="3"/>
      <c r="C746" s="18"/>
      <c r="D746" s="18"/>
      <c r="E746" s="19"/>
      <c r="F746" s="19"/>
      <c r="G746" s="20"/>
      <c r="H746" s="3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spans="1:34" ht="15.75" customHeight="1" x14ac:dyDescent="0.25">
      <c r="A747" s="3"/>
      <c r="B747" s="3"/>
      <c r="C747" s="18"/>
      <c r="D747" s="18"/>
      <c r="E747" s="19"/>
      <c r="F747" s="19"/>
      <c r="G747" s="20"/>
      <c r="H747" s="3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5.75" customHeight="1" x14ac:dyDescent="0.25">
      <c r="A748" s="3"/>
      <c r="B748" s="3"/>
      <c r="C748" s="18"/>
      <c r="D748" s="18"/>
      <c r="E748" s="19"/>
      <c r="F748" s="19"/>
      <c r="G748" s="20"/>
      <c r="H748" s="3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5.75" customHeight="1" x14ac:dyDescent="0.25">
      <c r="A749" s="3"/>
      <c r="B749" s="3"/>
      <c r="C749" s="18"/>
      <c r="D749" s="18"/>
      <c r="E749" s="19"/>
      <c r="F749" s="19"/>
      <c r="G749" s="20"/>
      <c r="H749" s="3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5.75" customHeight="1" x14ac:dyDescent="0.25">
      <c r="A750" s="3"/>
      <c r="B750" s="3"/>
      <c r="C750" s="18"/>
      <c r="D750" s="18"/>
      <c r="E750" s="19"/>
      <c r="F750" s="19"/>
      <c r="G750" s="20"/>
      <c r="H750" s="3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5.75" customHeight="1" x14ac:dyDescent="0.25">
      <c r="A751" s="3"/>
      <c r="B751" s="3"/>
      <c r="C751" s="18"/>
      <c r="D751" s="18"/>
      <c r="E751" s="19"/>
      <c r="F751" s="19"/>
      <c r="G751" s="20"/>
      <c r="H751" s="3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spans="1:34" ht="15.75" customHeight="1" x14ac:dyDescent="0.25">
      <c r="A752" s="3"/>
      <c r="B752" s="3"/>
      <c r="C752" s="18"/>
      <c r="D752" s="18"/>
      <c r="E752" s="19"/>
      <c r="F752" s="19"/>
      <c r="G752" s="20"/>
      <c r="H752" s="3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spans="1:34" ht="15.75" customHeight="1" x14ac:dyDescent="0.25">
      <c r="A753" s="3"/>
      <c r="B753" s="3"/>
      <c r="C753" s="18"/>
      <c r="D753" s="18"/>
      <c r="E753" s="19"/>
      <c r="F753" s="19"/>
      <c r="G753" s="20"/>
      <c r="H753" s="3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spans="1:34" ht="15.75" customHeight="1" x14ac:dyDescent="0.25">
      <c r="A754" s="3"/>
      <c r="B754" s="3"/>
      <c r="C754" s="18"/>
      <c r="D754" s="18"/>
      <c r="E754" s="19"/>
      <c r="F754" s="19"/>
      <c r="G754" s="20"/>
      <c r="H754" s="3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spans="1:34" ht="15.75" customHeight="1" x14ac:dyDescent="0.25">
      <c r="A755" s="3"/>
      <c r="B755" s="3"/>
      <c r="C755" s="18"/>
      <c r="D755" s="18"/>
      <c r="E755" s="19"/>
      <c r="F755" s="19"/>
      <c r="G755" s="20"/>
      <c r="H755" s="3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spans="1:34" ht="15.75" customHeight="1" x14ac:dyDescent="0.25">
      <c r="A756" s="3"/>
      <c r="B756" s="3"/>
      <c r="C756" s="18"/>
      <c r="D756" s="18"/>
      <c r="E756" s="19"/>
      <c r="F756" s="19"/>
      <c r="G756" s="20"/>
      <c r="H756" s="3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spans="1:34" ht="15.75" customHeight="1" x14ac:dyDescent="0.25">
      <c r="A757" s="3"/>
      <c r="B757" s="3"/>
      <c r="C757" s="18"/>
      <c r="D757" s="18"/>
      <c r="E757" s="19"/>
      <c r="F757" s="19"/>
      <c r="G757" s="20"/>
      <c r="H757" s="3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spans="1:34" ht="15.75" customHeight="1" x14ac:dyDescent="0.25">
      <c r="A758" s="3"/>
      <c r="B758" s="3"/>
      <c r="C758" s="18"/>
      <c r="D758" s="18"/>
      <c r="E758" s="19"/>
      <c r="F758" s="19"/>
      <c r="G758" s="20"/>
      <c r="H758" s="3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spans="1:34" ht="15.75" customHeight="1" x14ac:dyDescent="0.25">
      <c r="A759" s="3"/>
      <c r="B759" s="3"/>
      <c r="C759" s="18"/>
      <c r="D759" s="18"/>
      <c r="E759" s="19"/>
      <c r="F759" s="19"/>
      <c r="G759" s="20"/>
      <c r="H759" s="3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spans="1:34" ht="15.75" customHeight="1" x14ac:dyDescent="0.25">
      <c r="A760" s="3"/>
      <c r="B760" s="3"/>
      <c r="C760" s="18"/>
      <c r="D760" s="18"/>
      <c r="E760" s="19"/>
      <c r="F760" s="19"/>
      <c r="G760" s="20"/>
      <c r="H760" s="3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spans="1:34" ht="15.75" customHeight="1" x14ac:dyDescent="0.25">
      <c r="A761" s="3"/>
      <c r="B761" s="3"/>
      <c r="C761" s="18"/>
      <c r="D761" s="18"/>
      <c r="E761" s="19"/>
      <c r="F761" s="19"/>
      <c r="G761" s="20"/>
      <c r="H761" s="3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spans="1:34" ht="15.75" customHeight="1" x14ac:dyDescent="0.25">
      <c r="A762" s="3"/>
      <c r="B762" s="3"/>
      <c r="C762" s="18"/>
      <c r="D762" s="18"/>
      <c r="E762" s="19"/>
      <c r="F762" s="19"/>
      <c r="G762" s="20"/>
      <c r="H762" s="3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spans="1:34" ht="15.75" customHeight="1" x14ac:dyDescent="0.25">
      <c r="A763" s="3"/>
      <c r="B763" s="3"/>
      <c r="C763" s="18"/>
      <c r="D763" s="18"/>
      <c r="E763" s="19"/>
      <c r="F763" s="19"/>
      <c r="G763" s="20"/>
      <c r="H763" s="3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spans="1:34" ht="15.75" customHeight="1" x14ac:dyDescent="0.25">
      <c r="A764" s="3"/>
      <c r="B764" s="3"/>
      <c r="C764" s="18"/>
      <c r="D764" s="18"/>
      <c r="E764" s="19"/>
      <c r="F764" s="19"/>
      <c r="G764" s="20"/>
      <c r="H764" s="3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spans="1:34" ht="15.75" customHeight="1" x14ac:dyDescent="0.25">
      <c r="A765" s="3"/>
      <c r="B765" s="3"/>
      <c r="C765" s="18"/>
      <c r="D765" s="18"/>
      <c r="E765" s="19"/>
      <c r="F765" s="19"/>
      <c r="G765" s="20"/>
      <c r="H765" s="3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5.75" customHeight="1" x14ac:dyDescent="0.25">
      <c r="A766" s="3"/>
      <c r="B766" s="3"/>
      <c r="C766" s="18"/>
      <c r="D766" s="18"/>
      <c r="E766" s="19"/>
      <c r="F766" s="19"/>
      <c r="G766" s="20"/>
      <c r="H766" s="3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5.75" customHeight="1" x14ac:dyDescent="0.25">
      <c r="A767" s="3"/>
      <c r="B767" s="3"/>
      <c r="C767" s="18"/>
      <c r="D767" s="18"/>
      <c r="E767" s="19"/>
      <c r="F767" s="19"/>
      <c r="G767" s="20"/>
      <c r="H767" s="3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5.75" customHeight="1" x14ac:dyDescent="0.25">
      <c r="A768" s="3"/>
      <c r="B768" s="3"/>
      <c r="C768" s="18"/>
      <c r="D768" s="18"/>
      <c r="E768" s="19"/>
      <c r="F768" s="19"/>
      <c r="G768" s="20"/>
      <c r="H768" s="3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5.75" customHeight="1" x14ac:dyDescent="0.25">
      <c r="A769" s="3"/>
      <c r="B769" s="3"/>
      <c r="C769" s="18"/>
      <c r="D769" s="18"/>
      <c r="E769" s="19"/>
      <c r="F769" s="19"/>
      <c r="G769" s="20"/>
      <c r="H769" s="3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spans="1:34" ht="15.75" customHeight="1" x14ac:dyDescent="0.25">
      <c r="A770" s="3"/>
      <c r="B770" s="3"/>
      <c r="C770" s="18"/>
      <c r="D770" s="18"/>
      <c r="E770" s="19"/>
      <c r="F770" s="19"/>
      <c r="G770" s="20"/>
      <c r="H770" s="3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spans="1:34" ht="15.75" customHeight="1" x14ac:dyDescent="0.25">
      <c r="A771" s="3"/>
      <c r="B771" s="3"/>
      <c r="C771" s="18"/>
      <c r="D771" s="18"/>
      <c r="E771" s="19"/>
      <c r="F771" s="19"/>
      <c r="G771" s="20"/>
      <c r="H771" s="3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5.75" customHeight="1" x14ac:dyDescent="0.25">
      <c r="A772" s="3"/>
      <c r="B772" s="3"/>
      <c r="C772" s="18"/>
      <c r="D772" s="18"/>
      <c r="E772" s="19"/>
      <c r="F772" s="19"/>
      <c r="G772" s="20"/>
      <c r="H772" s="3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5.75" customHeight="1" x14ac:dyDescent="0.25">
      <c r="A773" s="3"/>
      <c r="B773" s="3"/>
      <c r="C773" s="18"/>
      <c r="D773" s="18"/>
      <c r="E773" s="19"/>
      <c r="F773" s="19"/>
      <c r="G773" s="20"/>
      <c r="H773" s="3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5.75" customHeight="1" x14ac:dyDescent="0.25">
      <c r="A774" s="3"/>
      <c r="B774" s="3"/>
      <c r="C774" s="18"/>
      <c r="D774" s="18"/>
      <c r="E774" s="19"/>
      <c r="F774" s="19"/>
      <c r="G774" s="20"/>
      <c r="H774" s="3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5.75" customHeight="1" x14ac:dyDescent="0.25">
      <c r="A775" s="3"/>
      <c r="B775" s="3"/>
      <c r="C775" s="18"/>
      <c r="D775" s="18"/>
      <c r="E775" s="19"/>
      <c r="F775" s="19"/>
      <c r="G775" s="20"/>
      <c r="H775" s="3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spans="1:34" ht="15.75" customHeight="1" x14ac:dyDescent="0.25">
      <c r="A776" s="3"/>
      <c r="B776" s="3"/>
      <c r="C776" s="18"/>
      <c r="D776" s="18"/>
      <c r="E776" s="19"/>
      <c r="F776" s="19"/>
      <c r="G776" s="20"/>
      <c r="H776" s="3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spans="1:34" ht="15.75" customHeight="1" x14ac:dyDescent="0.25">
      <c r="A777" s="3"/>
      <c r="B777" s="3"/>
      <c r="C777" s="18"/>
      <c r="D777" s="18"/>
      <c r="E777" s="19"/>
      <c r="F777" s="19"/>
      <c r="G777" s="20"/>
      <c r="H777" s="3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5.75" customHeight="1" x14ac:dyDescent="0.25">
      <c r="A778" s="3"/>
      <c r="B778" s="3"/>
      <c r="C778" s="18"/>
      <c r="D778" s="18"/>
      <c r="E778" s="19"/>
      <c r="F778" s="19"/>
      <c r="G778" s="20"/>
      <c r="H778" s="3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5.75" customHeight="1" x14ac:dyDescent="0.25">
      <c r="A779" s="3"/>
      <c r="B779" s="3"/>
      <c r="C779" s="18"/>
      <c r="D779" s="18"/>
      <c r="E779" s="19"/>
      <c r="F779" s="19"/>
      <c r="G779" s="20"/>
      <c r="H779" s="3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pans="1:34" ht="15.75" customHeight="1" x14ac:dyDescent="0.25">
      <c r="A780" s="3"/>
      <c r="B780" s="3"/>
      <c r="C780" s="18"/>
      <c r="D780" s="18"/>
      <c r="E780" s="19"/>
      <c r="F780" s="19"/>
      <c r="G780" s="20"/>
      <c r="H780" s="3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pans="1:34" ht="15.75" customHeight="1" x14ac:dyDescent="0.25">
      <c r="A781" s="3"/>
      <c r="B781" s="3"/>
      <c r="C781" s="18"/>
      <c r="D781" s="18"/>
      <c r="E781" s="19"/>
      <c r="F781" s="19"/>
      <c r="G781" s="20"/>
      <c r="H781" s="3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pans="1:34" ht="15.75" customHeight="1" x14ac:dyDescent="0.25">
      <c r="A782" s="3"/>
      <c r="B782" s="3"/>
      <c r="C782" s="18"/>
      <c r="D782" s="18"/>
      <c r="E782" s="19"/>
      <c r="F782" s="19"/>
      <c r="G782" s="20"/>
      <c r="H782" s="3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pans="1:34" ht="15.75" customHeight="1" x14ac:dyDescent="0.25">
      <c r="A783" s="3"/>
      <c r="B783" s="3"/>
      <c r="C783" s="18"/>
      <c r="D783" s="18"/>
      <c r="E783" s="19"/>
      <c r="F783" s="19"/>
      <c r="G783" s="20"/>
      <c r="H783" s="3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pans="1:34" ht="15.75" customHeight="1" x14ac:dyDescent="0.25">
      <c r="A784" s="3"/>
      <c r="B784" s="3"/>
      <c r="C784" s="18"/>
      <c r="D784" s="18"/>
      <c r="E784" s="19"/>
      <c r="F784" s="19"/>
      <c r="G784" s="20"/>
      <c r="H784" s="3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pans="1:34" ht="15.75" customHeight="1" x14ac:dyDescent="0.25">
      <c r="A785" s="3"/>
      <c r="B785" s="3"/>
      <c r="C785" s="18"/>
      <c r="D785" s="18"/>
      <c r="E785" s="19"/>
      <c r="F785" s="19"/>
      <c r="G785" s="20"/>
      <c r="H785" s="3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pans="1:34" ht="15.75" customHeight="1" x14ac:dyDescent="0.25">
      <c r="A786" s="3"/>
      <c r="B786" s="3"/>
      <c r="C786" s="18"/>
      <c r="D786" s="18"/>
      <c r="E786" s="19"/>
      <c r="F786" s="19"/>
      <c r="G786" s="20"/>
      <c r="H786" s="3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spans="1:34" ht="15.75" customHeight="1" x14ac:dyDescent="0.25">
      <c r="A787" s="3"/>
      <c r="B787" s="3"/>
      <c r="C787" s="18"/>
      <c r="D787" s="18"/>
      <c r="E787" s="19"/>
      <c r="F787" s="19"/>
      <c r="G787" s="20"/>
      <c r="H787" s="3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5.75" customHeight="1" x14ac:dyDescent="0.25">
      <c r="A788" s="3"/>
      <c r="B788" s="3"/>
      <c r="C788" s="18"/>
      <c r="D788" s="18"/>
      <c r="E788" s="19"/>
      <c r="F788" s="19"/>
      <c r="G788" s="20"/>
      <c r="H788" s="3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5.75" customHeight="1" x14ac:dyDescent="0.25">
      <c r="A789" s="3"/>
      <c r="B789" s="3"/>
      <c r="C789" s="18"/>
      <c r="D789" s="18"/>
      <c r="E789" s="19"/>
      <c r="F789" s="19"/>
      <c r="G789" s="20"/>
      <c r="H789" s="3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spans="1:34" ht="15.75" customHeight="1" x14ac:dyDescent="0.25">
      <c r="A790" s="3"/>
      <c r="B790" s="3"/>
      <c r="C790" s="18"/>
      <c r="D790" s="18"/>
      <c r="E790" s="19"/>
      <c r="F790" s="19"/>
      <c r="G790" s="20"/>
      <c r="H790" s="3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spans="1:34" ht="15.75" customHeight="1" x14ac:dyDescent="0.25">
      <c r="A791" s="3"/>
      <c r="B791" s="3"/>
      <c r="C791" s="18"/>
      <c r="D791" s="18"/>
      <c r="E791" s="19"/>
      <c r="F791" s="19"/>
      <c r="G791" s="20"/>
      <c r="H791" s="3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5.75" customHeight="1" x14ac:dyDescent="0.25">
      <c r="A792" s="3"/>
      <c r="B792" s="3"/>
      <c r="C792" s="18"/>
      <c r="D792" s="18"/>
      <c r="E792" s="19"/>
      <c r="F792" s="19"/>
      <c r="G792" s="20"/>
      <c r="H792" s="3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5.75" customHeight="1" x14ac:dyDescent="0.25">
      <c r="A793" s="3"/>
      <c r="B793" s="3"/>
      <c r="C793" s="18"/>
      <c r="D793" s="18"/>
      <c r="E793" s="19"/>
      <c r="F793" s="19"/>
      <c r="G793" s="20"/>
      <c r="H793" s="3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5.75" customHeight="1" x14ac:dyDescent="0.25">
      <c r="A794" s="3"/>
      <c r="B794" s="3"/>
      <c r="C794" s="18"/>
      <c r="D794" s="18"/>
      <c r="E794" s="19"/>
      <c r="F794" s="19"/>
      <c r="G794" s="20"/>
      <c r="H794" s="3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5.75" customHeight="1" x14ac:dyDescent="0.25">
      <c r="A795" s="3"/>
      <c r="B795" s="3"/>
      <c r="C795" s="18"/>
      <c r="D795" s="18"/>
      <c r="E795" s="19"/>
      <c r="F795" s="19"/>
      <c r="G795" s="20"/>
      <c r="H795" s="3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5.75" customHeight="1" x14ac:dyDescent="0.25">
      <c r="A796" s="3"/>
      <c r="B796" s="3"/>
      <c r="C796" s="18"/>
      <c r="D796" s="18"/>
      <c r="E796" s="19"/>
      <c r="F796" s="19"/>
      <c r="G796" s="20"/>
      <c r="H796" s="3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5.75" customHeight="1" x14ac:dyDescent="0.25">
      <c r="A797" s="3"/>
      <c r="B797" s="3"/>
      <c r="C797" s="18"/>
      <c r="D797" s="18"/>
      <c r="E797" s="19"/>
      <c r="F797" s="19"/>
      <c r="G797" s="20"/>
      <c r="H797" s="3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spans="1:34" ht="15.75" customHeight="1" x14ac:dyDescent="0.25">
      <c r="A798" s="3"/>
      <c r="B798" s="3"/>
      <c r="C798" s="18"/>
      <c r="D798" s="18"/>
      <c r="E798" s="19"/>
      <c r="F798" s="19"/>
      <c r="G798" s="20"/>
      <c r="H798" s="3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spans="1:34" ht="15.75" customHeight="1" x14ac:dyDescent="0.25">
      <c r="A799" s="3"/>
      <c r="B799" s="3"/>
      <c r="C799" s="18"/>
      <c r="D799" s="18"/>
      <c r="E799" s="19"/>
      <c r="F799" s="19"/>
      <c r="G799" s="20"/>
      <c r="H799" s="3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5.75" customHeight="1" x14ac:dyDescent="0.25">
      <c r="A800" s="3"/>
      <c r="B800" s="3"/>
      <c r="C800" s="18"/>
      <c r="D800" s="18"/>
      <c r="E800" s="19"/>
      <c r="F800" s="19"/>
      <c r="G800" s="20"/>
      <c r="H800" s="3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5.75" customHeight="1" x14ac:dyDescent="0.25">
      <c r="A801" s="3"/>
      <c r="B801" s="3"/>
      <c r="C801" s="18"/>
      <c r="D801" s="18"/>
      <c r="E801" s="19"/>
      <c r="F801" s="19"/>
      <c r="G801" s="20"/>
      <c r="H801" s="3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5.75" customHeight="1" x14ac:dyDescent="0.25">
      <c r="A802" s="3"/>
      <c r="B802" s="3"/>
      <c r="C802" s="18"/>
      <c r="D802" s="18"/>
      <c r="E802" s="19"/>
      <c r="F802" s="19"/>
      <c r="G802" s="20"/>
      <c r="H802" s="3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5.75" customHeight="1" x14ac:dyDescent="0.25">
      <c r="A803" s="3"/>
      <c r="B803" s="3"/>
      <c r="C803" s="18"/>
      <c r="D803" s="18"/>
      <c r="E803" s="19"/>
      <c r="F803" s="19"/>
      <c r="G803" s="20"/>
      <c r="H803" s="3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spans="1:34" ht="15.75" customHeight="1" x14ac:dyDescent="0.25">
      <c r="A804" s="3"/>
      <c r="B804" s="3"/>
      <c r="C804" s="18"/>
      <c r="D804" s="18"/>
      <c r="E804" s="19"/>
      <c r="F804" s="19"/>
      <c r="G804" s="20"/>
      <c r="H804" s="3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spans="1:34" ht="15.75" customHeight="1" x14ac:dyDescent="0.25">
      <c r="A805" s="3"/>
      <c r="B805" s="3"/>
      <c r="C805" s="18"/>
      <c r="D805" s="18"/>
      <c r="E805" s="19"/>
      <c r="F805" s="19"/>
      <c r="G805" s="20"/>
      <c r="H805" s="3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spans="1:34" ht="15.75" customHeight="1" x14ac:dyDescent="0.25">
      <c r="A806" s="3"/>
      <c r="B806" s="3"/>
      <c r="C806" s="18"/>
      <c r="D806" s="18"/>
      <c r="E806" s="19"/>
      <c r="F806" s="19"/>
      <c r="G806" s="20"/>
      <c r="H806" s="3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spans="1:34" ht="15.75" customHeight="1" x14ac:dyDescent="0.25">
      <c r="A807" s="3"/>
      <c r="B807" s="3"/>
      <c r="C807" s="18"/>
      <c r="D807" s="18"/>
      <c r="E807" s="19"/>
      <c r="F807" s="19"/>
      <c r="G807" s="20"/>
      <c r="H807" s="3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5.75" customHeight="1" x14ac:dyDescent="0.25">
      <c r="A808" s="3"/>
      <c r="B808" s="3"/>
      <c r="C808" s="18"/>
      <c r="D808" s="18"/>
      <c r="E808" s="19"/>
      <c r="F808" s="19"/>
      <c r="G808" s="20"/>
      <c r="H808" s="3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5.75" customHeight="1" x14ac:dyDescent="0.25">
      <c r="A809" s="3"/>
      <c r="B809" s="3"/>
      <c r="C809" s="18"/>
      <c r="D809" s="18"/>
      <c r="E809" s="19"/>
      <c r="F809" s="19"/>
      <c r="G809" s="20"/>
      <c r="H809" s="3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spans="1:34" ht="15.75" customHeight="1" x14ac:dyDescent="0.25">
      <c r="A810" s="3"/>
      <c r="B810" s="3"/>
      <c r="C810" s="18"/>
      <c r="D810" s="18"/>
      <c r="E810" s="19"/>
      <c r="F810" s="19"/>
      <c r="G810" s="20"/>
      <c r="H810" s="3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spans="1:34" ht="15.75" customHeight="1" x14ac:dyDescent="0.25">
      <c r="A811" s="3"/>
      <c r="B811" s="3"/>
      <c r="C811" s="18"/>
      <c r="D811" s="18"/>
      <c r="E811" s="19"/>
      <c r="F811" s="19"/>
      <c r="G811" s="20"/>
      <c r="H811" s="3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spans="1:34" ht="15.75" customHeight="1" x14ac:dyDescent="0.25">
      <c r="A812" s="3"/>
      <c r="B812" s="3"/>
      <c r="C812" s="18"/>
      <c r="D812" s="18"/>
      <c r="E812" s="19"/>
      <c r="F812" s="19"/>
      <c r="G812" s="20"/>
      <c r="H812" s="3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spans="1:34" ht="15.75" customHeight="1" x14ac:dyDescent="0.25">
      <c r="A813" s="3"/>
      <c r="B813" s="3"/>
      <c r="C813" s="18"/>
      <c r="D813" s="18"/>
      <c r="E813" s="19"/>
      <c r="F813" s="19"/>
      <c r="G813" s="20"/>
      <c r="H813" s="3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spans="1:34" ht="15.75" customHeight="1" x14ac:dyDescent="0.25">
      <c r="A814" s="3"/>
      <c r="B814" s="3"/>
      <c r="C814" s="18"/>
      <c r="D814" s="18"/>
      <c r="E814" s="19"/>
      <c r="F814" s="19"/>
      <c r="G814" s="20"/>
      <c r="H814" s="3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spans="1:34" ht="15.75" customHeight="1" x14ac:dyDescent="0.25">
      <c r="A815" s="3"/>
      <c r="B815" s="3"/>
      <c r="C815" s="18"/>
      <c r="D815" s="18"/>
      <c r="E815" s="19"/>
      <c r="F815" s="19"/>
      <c r="G815" s="20"/>
      <c r="H815" s="3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5.75" customHeight="1" x14ac:dyDescent="0.25">
      <c r="A816" s="3"/>
      <c r="B816" s="3"/>
      <c r="C816" s="18"/>
      <c r="D816" s="18"/>
      <c r="E816" s="19"/>
      <c r="F816" s="19"/>
      <c r="G816" s="20"/>
      <c r="H816" s="3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5.75" customHeight="1" x14ac:dyDescent="0.25">
      <c r="A817" s="3"/>
      <c r="B817" s="3"/>
      <c r="C817" s="18"/>
      <c r="D817" s="18"/>
      <c r="E817" s="19"/>
      <c r="F817" s="19"/>
      <c r="G817" s="20"/>
      <c r="H817" s="3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spans="1:34" ht="15.75" customHeight="1" x14ac:dyDescent="0.25">
      <c r="A818" s="3"/>
      <c r="B818" s="3"/>
      <c r="C818" s="18"/>
      <c r="D818" s="18"/>
      <c r="E818" s="19"/>
      <c r="F818" s="19"/>
      <c r="G818" s="20"/>
      <c r="H818" s="3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spans="1:34" ht="15.75" customHeight="1" x14ac:dyDescent="0.25">
      <c r="A819" s="3"/>
      <c r="B819" s="3"/>
      <c r="C819" s="18"/>
      <c r="D819" s="18"/>
      <c r="E819" s="19"/>
      <c r="F819" s="19"/>
      <c r="G819" s="20"/>
      <c r="H819" s="3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spans="1:34" ht="15.75" customHeight="1" x14ac:dyDescent="0.25">
      <c r="A820" s="3"/>
      <c r="B820" s="3"/>
      <c r="C820" s="18"/>
      <c r="D820" s="18"/>
      <c r="E820" s="19"/>
      <c r="F820" s="19"/>
      <c r="G820" s="20"/>
      <c r="H820" s="3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spans="1:34" ht="15.75" customHeight="1" x14ac:dyDescent="0.25">
      <c r="A821" s="3"/>
      <c r="B821" s="3"/>
      <c r="C821" s="18"/>
      <c r="D821" s="18"/>
      <c r="E821" s="19"/>
      <c r="F821" s="19"/>
      <c r="G821" s="20"/>
      <c r="H821" s="3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spans="1:34" ht="15.75" customHeight="1" x14ac:dyDescent="0.25">
      <c r="A822" s="3"/>
      <c r="B822" s="3"/>
      <c r="C822" s="18"/>
      <c r="D822" s="18"/>
      <c r="E822" s="19"/>
      <c r="F822" s="19"/>
      <c r="G822" s="20"/>
      <c r="H822" s="3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spans="1:34" ht="15.75" customHeight="1" x14ac:dyDescent="0.25">
      <c r="A823" s="3"/>
      <c r="B823" s="3"/>
      <c r="C823" s="18"/>
      <c r="D823" s="18"/>
      <c r="E823" s="19"/>
      <c r="F823" s="19"/>
      <c r="G823" s="20"/>
      <c r="H823" s="3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spans="1:34" ht="15.75" customHeight="1" x14ac:dyDescent="0.25">
      <c r="A824" s="3"/>
      <c r="B824" s="3"/>
      <c r="C824" s="18"/>
      <c r="D824" s="18"/>
      <c r="E824" s="19"/>
      <c r="F824" s="19"/>
      <c r="G824" s="20"/>
      <c r="H824" s="3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spans="1:34" ht="15.75" customHeight="1" x14ac:dyDescent="0.25">
      <c r="A825" s="3"/>
      <c r="B825" s="3"/>
      <c r="C825" s="18"/>
      <c r="D825" s="18"/>
      <c r="E825" s="19"/>
      <c r="F825" s="19"/>
      <c r="G825" s="20"/>
      <c r="H825" s="3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spans="1:34" ht="15.75" customHeight="1" x14ac:dyDescent="0.25">
      <c r="A826" s="3"/>
      <c r="B826" s="3"/>
      <c r="C826" s="18"/>
      <c r="D826" s="18"/>
      <c r="E826" s="19"/>
      <c r="F826" s="19"/>
      <c r="G826" s="20"/>
      <c r="H826" s="3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spans="1:34" ht="15.75" customHeight="1" x14ac:dyDescent="0.25">
      <c r="A827" s="3"/>
      <c r="B827" s="3"/>
      <c r="C827" s="18"/>
      <c r="D827" s="18"/>
      <c r="E827" s="19"/>
      <c r="F827" s="19"/>
      <c r="G827" s="20"/>
      <c r="H827" s="3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5.75" customHeight="1" x14ac:dyDescent="0.25">
      <c r="A828" s="3"/>
      <c r="B828" s="3"/>
      <c r="C828" s="18"/>
      <c r="D828" s="18"/>
      <c r="E828" s="19"/>
      <c r="F828" s="19"/>
      <c r="G828" s="20"/>
      <c r="H828" s="3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5.75" customHeight="1" x14ac:dyDescent="0.25">
      <c r="A829" s="3"/>
      <c r="B829" s="3"/>
      <c r="C829" s="18"/>
      <c r="D829" s="18"/>
      <c r="E829" s="19"/>
      <c r="F829" s="19"/>
      <c r="G829" s="20"/>
      <c r="H829" s="3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5.75" customHeight="1" x14ac:dyDescent="0.25">
      <c r="A830" s="3"/>
      <c r="B830" s="3"/>
      <c r="C830" s="18"/>
      <c r="D830" s="18"/>
      <c r="E830" s="19"/>
      <c r="F830" s="19"/>
      <c r="G830" s="20"/>
      <c r="H830" s="3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5.75" customHeight="1" x14ac:dyDescent="0.25">
      <c r="A831" s="3"/>
      <c r="B831" s="3"/>
      <c r="C831" s="18"/>
      <c r="D831" s="18"/>
      <c r="E831" s="19"/>
      <c r="F831" s="19"/>
      <c r="G831" s="20"/>
      <c r="H831" s="3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5.75" customHeight="1" x14ac:dyDescent="0.25">
      <c r="A832" s="3"/>
      <c r="B832" s="3"/>
      <c r="C832" s="18"/>
      <c r="D832" s="18"/>
      <c r="E832" s="19"/>
      <c r="F832" s="19"/>
      <c r="G832" s="20"/>
      <c r="H832" s="3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5.75" customHeight="1" x14ac:dyDescent="0.25">
      <c r="A833" s="3"/>
      <c r="B833" s="3"/>
      <c r="C833" s="18"/>
      <c r="D833" s="18"/>
      <c r="E833" s="19"/>
      <c r="F833" s="19"/>
      <c r="G833" s="20"/>
      <c r="H833" s="3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spans="1:34" ht="15.75" customHeight="1" x14ac:dyDescent="0.25">
      <c r="A834" s="3"/>
      <c r="B834" s="3"/>
      <c r="C834" s="18"/>
      <c r="D834" s="18"/>
      <c r="E834" s="19"/>
      <c r="F834" s="19"/>
      <c r="G834" s="20"/>
      <c r="H834" s="3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spans="1:34" ht="15.75" customHeight="1" x14ac:dyDescent="0.25">
      <c r="A835" s="3"/>
      <c r="B835" s="3"/>
      <c r="C835" s="18"/>
      <c r="D835" s="18"/>
      <c r="E835" s="19"/>
      <c r="F835" s="19"/>
      <c r="G835" s="20"/>
      <c r="H835" s="3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5.75" customHeight="1" x14ac:dyDescent="0.25">
      <c r="A836" s="3"/>
      <c r="B836" s="3"/>
      <c r="C836" s="18"/>
      <c r="D836" s="18"/>
      <c r="E836" s="19"/>
      <c r="F836" s="19"/>
      <c r="G836" s="20"/>
      <c r="H836" s="3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5.75" customHeight="1" x14ac:dyDescent="0.25">
      <c r="A837" s="3"/>
      <c r="B837" s="3"/>
      <c r="C837" s="18"/>
      <c r="D837" s="18"/>
      <c r="E837" s="19"/>
      <c r="F837" s="19"/>
      <c r="G837" s="20"/>
      <c r="H837" s="3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5.75" customHeight="1" x14ac:dyDescent="0.25">
      <c r="A838" s="3"/>
      <c r="B838" s="3"/>
      <c r="C838" s="18"/>
      <c r="D838" s="18"/>
      <c r="E838" s="19"/>
      <c r="F838" s="19"/>
      <c r="G838" s="20"/>
      <c r="H838" s="3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5.75" customHeight="1" x14ac:dyDescent="0.25">
      <c r="A839" s="3"/>
      <c r="B839" s="3"/>
      <c r="C839" s="18"/>
      <c r="D839" s="18"/>
      <c r="E839" s="19"/>
      <c r="F839" s="19"/>
      <c r="G839" s="20"/>
      <c r="H839" s="3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5.75" customHeight="1" x14ac:dyDescent="0.25">
      <c r="A840" s="3"/>
      <c r="B840" s="3"/>
      <c r="C840" s="18"/>
      <c r="D840" s="18"/>
      <c r="E840" s="19"/>
      <c r="F840" s="19"/>
      <c r="G840" s="20"/>
      <c r="H840" s="3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5.75" customHeight="1" x14ac:dyDescent="0.25">
      <c r="A841" s="3"/>
      <c r="B841" s="3"/>
      <c r="C841" s="18"/>
      <c r="D841" s="18"/>
      <c r="E841" s="19"/>
      <c r="F841" s="19"/>
      <c r="G841" s="20"/>
      <c r="H841" s="3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5.75" customHeight="1" x14ac:dyDescent="0.25">
      <c r="A842" s="3"/>
      <c r="B842" s="3"/>
      <c r="C842" s="18"/>
      <c r="D842" s="18"/>
      <c r="E842" s="19"/>
      <c r="F842" s="19"/>
      <c r="G842" s="20"/>
      <c r="H842" s="3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5.75" customHeight="1" x14ac:dyDescent="0.25">
      <c r="A843" s="3"/>
      <c r="B843" s="3"/>
      <c r="C843" s="18"/>
      <c r="D843" s="18"/>
      <c r="E843" s="19"/>
      <c r="F843" s="19"/>
      <c r="G843" s="20"/>
      <c r="H843" s="3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spans="1:34" ht="15.75" customHeight="1" x14ac:dyDescent="0.25">
      <c r="A844" s="3"/>
      <c r="B844" s="3"/>
      <c r="C844" s="18"/>
      <c r="D844" s="18"/>
      <c r="E844" s="19"/>
      <c r="F844" s="19"/>
      <c r="G844" s="20"/>
      <c r="H844" s="3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spans="1:34" ht="15.75" customHeight="1" x14ac:dyDescent="0.25">
      <c r="A845" s="3"/>
      <c r="B845" s="3"/>
      <c r="C845" s="18"/>
      <c r="D845" s="18"/>
      <c r="E845" s="19"/>
      <c r="F845" s="19"/>
      <c r="G845" s="20"/>
      <c r="H845" s="3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spans="1:34" ht="15.75" customHeight="1" x14ac:dyDescent="0.25">
      <c r="A846" s="3"/>
      <c r="B846" s="3"/>
      <c r="C846" s="18"/>
      <c r="D846" s="18"/>
      <c r="E846" s="19"/>
      <c r="F846" s="19"/>
      <c r="G846" s="20"/>
      <c r="H846" s="3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spans="1:34" ht="15.75" customHeight="1" x14ac:dyDescent="0.25">
      <c r="A847" s="3"/>
      <c r="B847" s="3"/>
      <c r="C847" s="18"/>
      <c r="D847" s="18"/>
      <c r="E847" s="19"/>
      <c r="F847" s="19"/>
      <c r="G847" s="20"/>
      <c r="H847" s="3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spans="1:34" ht="15.75" customHeight="1" x14ac:dyDescent="0.25">
      <c r="A848" s="3"/>
      <c r="B848" s="3"/>
      <c r="C848" s="18"/>
      <c r="D848" s="18"/>
      <c r="E848" s="19"/>
      <c r="F848" s="19"/>
      <c r="G848" s="20"/>
      <c r="H848" s="3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spans="1:34" ht="15.75" customHeight="1" x14ac:dyDescent="0.25">
      <c r="A849" s="3"/>
      <c r="B849" s="3"/>
      <c r="C849" s="18"/>
      <c r="D849" s="18"/>
      <c r="E849" s="19"/>
      <c r="F849" s="19"/>
      <c r="G849" s="20"/>
      <c r="H849" s="3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spans="1:34" ht="15.75" customHeight="1" x14ac:dyDescent="0.25">
      <c r="A850" s="3"/>
      <c r="B850" s="3"/>
      <c r="C850" s="18"/>
      <c r="D850" s="18"/>
      <c r="E850" s="19"/>
      <c r="F850" s="19"/>
      <c r="G850" s="20"/>
      <c r="H850" s="3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spans="1:34" ht="15.75" customHeight="1" x14ac:dyDescent="0.25">
      <c r="A851" s="3"/>
      <c r="B851" s="3"/>
      <c r="C851" s="18"/>
      <c r="D851" s="18"/>
      <c r="E851" s="19"/>
      <c r="F851" s="19"/>
      <c r="G851" s="20"/>
      <c r="H851" s="3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spans="1:34" ht="15.75" customHeight="1" x14ac:dyDescent="0.25">
      <c r="A852" s="3"/>
      <c r="B852" s="3"/>
      <c r="C852" s="18"/>
      <c r="D852" s="18"/>
      <c r="E852" s="19"/>
      <c r="F852" s="19"/>
      <c r="G852" s="20"/>
      <c r="H852" s="3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spans="1:34" ht="15.75" customHeight="1" x14ac:dyDescent="0.25">
      <c r="A853" s="3"/>
      <c r="B853" s="3"/>
      <c r="C853" s="18"/>
      <c r="D853" s="18"/>
      <c r="E853" s="19"/>
      <c r="F853" s="19"/>
      <c r="G853" s="20"/>
      <c r="H853" s="3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spans="1:34" ht="15.75" customHeight="1" x14ac:dyDescent="0.25">
      <c r="A854" s="3"/>
      <c r="B854" s="3"/>
      <c r="C854" s="18"/>
      <c r="D854" s="18"/>
      <c r="E854" s="19"/>
      <c r="F854" s="19"/>
      <c r="G854" s="20"/>
      <c r="H854" s="3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spans="1:34" ht="15.75" customHeight="1" x14ac:dyDescent="0.25">
      <c r="A855" s="3"/>
      <c r="B855" s="3"/>
      <c r="C855" s="18"/>
      <c r="D855" s="18"/>
      <c r="E855" s="19"/>
      <c r="F855" s="19"/>
      <c r="G855" s="20"/>
      <c r="H855" s="3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spans="1:34" ht="15.75" customHeight="1" x14ac:dyDescent="0.25">
      <c r="A856" s="3"/>
      <c r="B856" s="3"/>
      <c r="C856" s="18"/>
      <c r="D856" s="18"/>
      <c r="E856" s="19"/>
      <c r="F856" s="19"/>
      <c r="G856" s="20"/>
      <c r="H856" s="3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spans="1:34" ht="15.75" customHeight="1" x14ac:dyDescent="0.25">
      <c r="A857" s="3"/>
      <c r="B857" s="3"/>
      <c r="C857" s="18"/>
      <c r="D857" s="18"/>
      <c r="E857" s="19"/>
      <c r="F857" s="19"/>
      <c r="G857" s="20"/>
      <c r="H857" s="3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spans="1:34" ht="15.75" customHeight="1" x14ac:dyDescent="0.25">
      <c r="A858" s="3"/>
      <c r="B858" s="3"/>
      <c r="C858" s="18"/>
      <c r="D858" s="18"/>
      <c r="E858" s="19"/>
      <c r="F858" s="19"/>
      <c r="G858" s="20"/>
      <c r="H858" s="3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spans="1:34" ht="15.75" customHeight="1" x14ac:dyDescent="0.25">
      <c r="A859" s="3"/>
      <c r="B859" s="3"/>
      <c r="C859" s="18"/>
      <c r="D859" s="18"/>
      <c r="E859" s="19"/>
      <c r="F859" s="19"/>
      <c r="G859" s="20"/>
      <c r="H859" s="3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spans="1:34" ht="15.75" customHeight="1" x14ac:dyDescent="0.25">
      <c r="A860" s="3"/>
      <c r="B860" s="3"/>
      <c r="C860" s="18"/>
      <c r="D860" s="18"/>
      <c r="E860" s="19"/>
      <c r="F860" s="19"/>
      <c r="G860" s="20"/>
      <c r="H860" s="3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spans="1:34" ht="15.75" customHeight="1" x14ac:dyDescent="0.25">
      <c r="A861" s="3"/>
      <c r="B861" s="3"/>
      <c r="C861" s="18"/>
      <c r="D861" s="18"/>
      <c r="E861" s="19"/>
      <c r="F861" s="19"/>
      <c r="G861" s="20"/>
      <c r="H861" s="3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spans="1:34" ht="15.75" customHeight="1" x14ac:dyDescent="0.25">
      <c r="A862" s="3"/>
      <c r="B862" s="3"/>
      <c r="C862" s="18"/>
      <c r="D862" s="18"/>
      <c r="E862" s="19"/>
      <c r="F862" s="19"/>
      <c r="G862" s="20"/>
      <c r="H862" s="3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spans="1:34" ht="15.75" customHeight="1" x14ac:dyDescent="0.25">
      <c r="A863" s="3"/>
      <c r="B863" s="3"/>
      <c r="C863" s="18"/>
      <c r="D863" s="18"/>
      <c r="E863" s="19"/>
      <c r="F863" s="19"/>
      <c r="G863" s="20"/>
      <c r="H863" s="3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spans="1:34" ht="15.75" customHeight="1" x14ac:dyDescent="0.25">
      <c r="A864" s="3"/>
      <c r="B864" s="3"/>
      <c r="C864" s="18"/>
      <c r="D864" s="18"/>
      <c r="E864" s="19"/>
      <c r="F864" s="19"/>
      <c r="G864" s="20"/>
      <c r="H864" s="3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spans="1:34" ht="15.75" customHeight="1" x14ac:dyDescent="0.25">
      <c r="A865" s="3"/>
      <c r="B865" s="3"/>
      <c r="C865" s="18"/>
      <c r="D865" s="18"/>
      <c r="E865" s="19"/>
      <c r="F865" s="19"/>
      <c r="G865" s="20"/>
      <c r="H865" s="3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spans="1:34" ht="15.75" customHeight="1" x14ac:dyDescent="0.25">
      <c r="A866" s="3"/>
      <c r="B866" s="3"/>
      <c r="C866" s="18"/>
      <c r="D866" s="18"/>
      <c r="E866" s="19"/>
      <c r="F866" s="19"/>
      <c r="G866" s="20"/>
      <c r="H866" s="3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spans="1:34" ht="15.75" customHeight="1" x14ac:dyDescent="0.25">
      <c r="A867" s="3"/>
      <c r="B867" s="3"/>
      <c r="C867" s="18"/>
      <c r="D867" s="18"/>
      <c r="E867" s="19"/>
      <c r="F867" s="19"/>
      <c r="G867" s="20"/>
      <c r="H867" s="3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5.75" customHeight="1" x14ac:dyDescent="0.25">
      <c r="A868" s="3"/>
      <c r="B868" s="3"/>
      <c r="C868" s="18"/>
      <c r="D868" s="18"/>
      <c r="E868" s="19"/>
      <c r="F868" s="19"/>
      <c r="G868" s="20"/>
      <c r="H868" s="3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5.75" customHeight="1" x14ac:dyDescent="0.25">
      <c r="A869" s="3"/>
      <c r="B869" s="3"/>
      <c r="C869" s="18"/>
      <c r="D869" s="18"/>
      <c r="E869" s="19"/>
      <c r="F869" s="19"/>
      <c r="G869" s="20"/>
      <c r="H869" s="3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spans="1:34" ht="15.75" customHeight="1" x14ac:dyDescent="0.25">
      <c r="A870" s="3"/>
      <c r="B870" s="3"/>
      <c r="C870" s="18"/>
      <c r="D870" s="18"/>
      <c r="E870" s="19"/>
      <c r="F870" s="19"/>
      <c r="G870" s="20"/>
      <c r="H870" s="3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spans="1:34" ht="15.75" customHeight="1" x14ac:dyDescent="0.25">
      <c r="A871" s="3"/>
      <c r="B871" s="3"/>
      <c r="C871" s="18"/>
      <c r="D871" s="18"/>
      <c r="E871" s="19"/>
      <c r="F871" s="19"/>
      <c r="G871" s="20"/>
      <c r="H871" s="3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spans="1:34" ht="15.75" customHeight="1" x14ac:dyDescent="0.25">
      <c r="A872" s="3"/>
      <c r="B872" s="3"/>
      <c r="C872" s="18"/>
      <c r="D872" s="18"/>
      <c r="E872" s="19"/>
      <c r="F872" s="19"/>
      <c r="G872" s="20"/>
      <c r="H872" s="3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spans="1:34" ht="15.75" customHeight="1" x14ac:dyDescent="0.25">
      <c r="A873" s="3"/>
      <c r="B873" s="3"/>
      <c r="C873" s="18"/>
      <c r="D873" s="18"/>
      <c r="E873" s="19"/>
      <c r="F873" s="19"/>
      <c r="G873" s="20"/>
      <c r="H873" s="3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spans="1:34" ht="15.75" customHeight="1" x14ac:dyDescent="0.25">
      <c r="A874" s="3"/>
      <c r="B874" s="3"/>
      <c r="C874" s="18"/>
      <c r="D874" s="18"/>
      <c r="E874" s="19"/>
      <c r="F874" s="19"/>
      <c r="G874" s="20"/>
      <c r="H874" s="3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spans="1:34" ht="15.75" customHeight="1" x14ac:dyDescent="0.25">
      <c r="A875" s="3"/>
      <c r="B875" s="3"/>
      <c r="C875" s="18"/>
      <c r="D875" s="18"/>
      <c r="E875" s="19"/>
      <c r="F875" s="19"/>
      <c r="G875" s="20"/>
      <c r="H875" s="3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spans="1:34" ht="15.75" customHeight="1" x14ac:dyDescent="0.25">
      <c r="A876" s="3"/>
      <c r="B876" s="3"/>
      <c r="C876" s="18"/>
      <c r="D876" s="18"/>
      <c r="E876" s="19"/>
      <c r="F876" s="19"/>
      <c r="G876" s="20"/>
      <c r="H876" s="3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spans="1:34" ht="15.75" customHeight="1" x14ac:dyDescent="0.25">
      <c r="A877" s="3"/>
      <c r="B877" s="3"/>
      <c r="C877" s="18"/>
      <c r="D877" s="18"/>
      <c r="E877" s="19"/>
      <c r="F877" s="19"/>
      <c r="G877" s="20"/>
      <c r="H877" s="3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spans="1:34" ht="15.75" customHeight="1" x14ac:dyDescent="0.25">
      <c r="A878" s="3"/>
      <c r="B878" s="3"/>
      <c r="C878" s="18"/>
      <c r="D878" s="18"/>
      <c r="E878" s="19"/>
      <c r="F878" s="19"/>
      <c r="G878" s="20"/>
      <c r="H878" s="3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spans="1:34" ht="15.75" customHeight="1" x14ac:dyDescent="0.25">
      <c r="A879" s="3"/>
      <c r="B879" s="3"/>
      <c r="C879" s="18"/>
      <c r="D879" s="18"/>
      <c r="E879" s="19"/>
      <c r="F879" s="19"/>
      <c r="G879" s="20"/>
      <c r="H879" s="3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spans="1:34" ht="15.75" customHeight="1" x14ac:dyDescent="0.25">
      <c r="A880" s="3"/>
      <c r="B880" s="3"/>
      <c r="C880" s="18"/>
      <c r="D880" s="18"/>
      <c r="E880" s="19"/>
      <c r="F880" s="19"/>
      <c r="G880" s="20"/>
      <c r="H880" s="3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spans="1:34" ht="15.75" customHeight="1" x14ac:dyDescent="0.25">
      <c r="A881" s="3"/>
      <c r="B881" s="3"/>
      <c r="C881" s="18"/>
      <c r="D881" s="18"/>
      <c r="E881" s="19"/>
      <c r="F881" s="19"/>
      <c r="G881" s="20"/>
      <c r="H881" s="3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spans="1:34" ht="15.75" customHeight="1" x14ac:dyDescent="0.25">
      <c r="A882" s="3"/>
      <c r="B882" s="3"/>
      <c r="C882" s="18"/>
      <c r="D882" s="18"/>
      <c r="E882" s="19"/>
      <c r="F882" s="19"/>
      <c r="G882" s="20"/>
      <c r="H882" s="3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spans="1:34" ht="15.75" customHeight="1" x14ac:dyDescent="0.25">
      <c r="A883" s="3"/>
      <c r="B883" s="3"/>
      <c r="C883" s="18"/>
      <c r="D883" s="18"/>
      <c r="E883" s="19"/>
      <c r="F883" s="19"/>
      <c r="G883" s="20"/>
      <c r="H883" s="3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spans="1:34" ht="15.75" customHeight="1" x14ac:dyDescent="0.25">
      <c r="A884" s="3"/>
      <c r="B884" s="3"/>
      <c r="C884" s="18"/>
      <c r="D884" s="18"/>
      <c r="E884" s="19"/>
      <c r="F884" s="19"/>
      <c r="G884" s="20"/>
      <c r="H884" s="3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spans="1:34" ht="15.75" customHeight="1" x14ac:dyDescent="0.25">
      <c r="A885" s="3"/>
      <c r="B885" s="3"/>
      <c r="C885" s="18"/>
      <c r="D885" s="18"/>
      <c r="E885" s="19"/>
      <c r="F885" s="19"/>
      <c r="G885" s="20"/>
      <c r="H885" s="3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5.75" customHeight="1" x14ac:dyDescent="0.25">
      <c r="A886" s="3"/>
      <c r="B886" s="3"/>
      <c r="C886" s="18"/>
      <c r="D886" s="18"/>
      <c r="E886" s="19"/>
      <c r="F886" s="19"/>
      <c r="G886" s="20"/>
      <c r="H886" s="3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5.75" customHeight="1" x14ac:dyDescent="0.25">
      <c r="A887" s="3"/>
      <c r="B887" s="3"/>
      <c r="C887" s="18"/>
      <c r="D887" s="18"/>
      <c r="E887" s="19"/>
      <c r="F887" s="19"/>
      <c r="G887" s="20"/>
      <c r="H887" s="3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spans="1:34" ht="15.75" customHeight="1" x14ac:dyDescent="0.25">
      <c r="A888" s="3"/>
      <c r="B888" s="3"/>
      <c r="C888" s="18"/>
      <c r="D888" s="18"/>
      <c r="E888" s="19"/>
      <c r="F888" s="19"/>
      <c r="G888" s="20"/>
      <c r="H888" s="3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spans="1:34" ht="15.75" customHeight="1" x14ac:dyDescent="0.25">
      <c r="A889" s="3"/>
      <c r="B889" s="3"/>
      <c r="C889" s="18"/>
      <c r="D889" s="18"/>
      <c r="E889" s="19"/>
      <c r="F889" s="19"/>
      <c r="G889" s="20"/>
      <c r="H889" s="3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spans="1:34" ht="15.75" customHeight="1" x14ac:dyDescent="0.25">
      <c r="A890" s="3"/>
      <c r="B890" s="3"/>
      <c r="C890" s="18"/>
      <c r="D890" s="18"/>
      <c r="E890" s="19"/>
      <c r="F890" s="19"/>
      <c r="G890" s="20"/>
      <c r="H890" s="3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spans="1:34" ht="15.75" customHeight="1" x14ac:dyDescent="0.25">
      <c r="A891" s="3"/>
      <c r="B891" s="3"/>
      <c r="C891" s="18"/>
      <c r="D891" s="18"/>
      <c r="E891" s="19"/>
      <c r="F891" s="19"/>
      <c r="G891" s="20"/>
      <c r="H891" s="3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5.75" customHeight="1" x14ac:dyDescent="0.25">
      <c r="A892" s="3"/>
      <c r="B892" s="3"/>
      <c r="C892" s="18"/>
      <c r="D892" s="18"/>
      <c r="E892" s="19"/>
      <c r="F892" s="19"/>
      <c r="G892" s="20"/>
      <c r="H892" s="3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5.75" customHeight="1" x14ac:dyDescent="0.25">
      <c r="A893" s="3"/>
      <c r="B893" s="3"/>
      <c r="C893" s="18"/>
      <c r="D893" s="18"/>
      <c r="E893" s="19"/>
      <c r="F893" s="19"/>
      <c r="G893" s="20"/>
      <c r="H893" s="3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spans="1:34" ht="15.75" customHeight="1" x14ac:dyDescent="0.25">
      <c r="A894" s="3"/>
      <c r="B894" s="3"/>
      <c r="C894" s="18"/>
      <c r="D894" s="18"/>
      <c r="E894" s="19"/>
      <c r="F894" s="19"/>
      <c r="G894" s="20"/>
      <c r="H894" s="3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spans="1:34" ht="15.75" customHeight="1" x14ac:dyDescent="0.25">
      <c r="A895" s="3"/>
      <c r="B895" s="3"/>
      <c r="C895" s="18"/>
      <c r="D895" s="18"/>
      <c r="E895" s="19"/>
      <c r="F895" s="19"/>
      <c r="G895" s="20"/>
      <c r="H895" s="3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spans="1:34" ht="15.75" customHeight="1" x14ac:dyDescent="0.25">
      <c r="A896" s="3"/>
      <c r="B896" s="3"/>
      <c r="C896" s="18"/>
      <c r="D896" s="18"/>
      <c r="E896" s="19"/>
      <c r="F896" s="19"/>
      <c r="G896" s="20"/>
      <c r="H896" s="3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spans="1:34" ht="15.75" customHeight="1" x14ac:dyDescent="0.25">
      <c r="A897" s="3"/>
      <c r="B897" s="3"/>
      <c r="C897" s="18"/>
      <c r="D897" s="18"/>
      <c r="E897" s="19"/>
      <c r="F897" s="19"/>
      <c r="G897" s="20"/>
      <c r="H897" s="3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5.75" customHeight="1" x14ac:dyDescent="0.25">
      <c r="A898" s="3"/>
      <c r="B898" s="3"/>
      <c r="C898" s="18"/>
      <c r="D898" s="18"/>
      <c r="E898" s="19"/>
      <c r="F898" s="19"/>
      <c r="G898" s="20"/>
      <c r="H898" s="3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5.75" customHeight="1" x14ac:dyDescent="0.25">
      <c r="A899" s="3"/>
      <c r="B899" s="3"/>
      <c r="C899" s="18"/>
      <c r="D899" s="18"/>
      <c r="E899" s="19"/>
      <c r="F899" s="19"/>
      <c r="G899" s="20"/>
      <c r="H899" s="3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5.75" customHeight="1" x14ac:dyDescent="0.25">
      <c r="A900" s="3"/>
      <c r="B900" s="3"/>
      <c r="C900" s="18"/>
      <c r="D900" s="18"/>
      <c r="E900" s="19"/>
      <c r="F900" s="19"/>
      <c r="G900" s="20"/>
      <c r="H900" s="3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5.75" customHeight="1" x14ac:dyDescent="0.25">
      <c r="A901" s="3"/>
      <c r="B901" s="3"/>
      <c r="C901" s="18"/>
      <c r="D901" s="18"/>
      <c r="E901" s="19"/>
      <c r="F901" s="19"/>
      <c r="G901" s="20"/>
      <c r="H901" s="3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5.75" customHeight="1" x14ac:dyDescent="0.25">
      <c r="A902" s="3"/>
      <c r="B902" s="3"/>
      <c r="C902" s="18"/>
      <c r="D902" s="18"/>
      <c r="E902" s="19"/>
      <c r="F902" s="19"/>
      <c r="G902" s="20"/>
      <c r="H902" s="3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5.75" customHeight="1" x14ac:dyDescent="0.25">
      <c r="A903" s="3"/>
      <c r="B903" s="3"/>
      <c r="C903" s="18"/>
      <c r="D903" s="18"/>
      <c r="E903" s="19"/>
      <c r="F903" s="19"/>
      <c r="G903" s="20"/>
      <c r="H903" s="3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spans="1:34" ht="15.75" customHeight="1" x14ac:dyDescent="0.25">
      <c r="A904" s="3"/>
      <c r="B904" s="3"/>
      <c r="C904" s="18"/>
      <c r="D904" s="18"/>
      <c r="E904" s="19"/>
      <c r="F904" s="19"/>
      <c r="G904" s="20"/>
      <c r="H904" s="3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spans="1:34" ht="15.75" customHeight="1" x14ac:dyDescent="0.25">
      <c r="A905" s="3"/>
      <c r="B905" s="3"/>
      <c r="C905" s="18"/>
      <c r="D905" s="18"/>
      <c r="E905" s="19"/>
      <c r="F905" s="19"/>
      <c r="G905" s="20"/>
      <c r="H905" s="3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5.75" customHeight="1" x14ac:dyDescent="0.25">
      <c r="A906" s="3"/>
      <c r="B906" s="3"/>
      <c r="C906" s="18"/>
      <c r="D906" s="18"/>
      <c r="E906" s="19"/>
      <c r="F906" s="19"/>
      <c r="G906" s="20"/>
      <c r="H906" s="3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5.75" customHeight="1" x14ac:dyDescent="0.25">
      <c r="A907" s="3"/>
      <c r="B907" s="3"/>
      <c r="C907" s="18"/>
      <c r="D907" s="18"/>
      <c r="E907" s="19"/>
      <c r="F907" s="19"/>
      <c r="G907" s="20"/>
      <c r="H907" s="3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 spans="1:34" ht="15.75" customHeight="1" x14ac:dyDescent="0.25">
      <c r="A908" s="3"/>
      <c r="B908" s="3"/>
      <c r="C908" s="18"/>
      <c r="D908" s="18"/>
      <c r="E908" s="19"/>
      <c r="F908" s="19"/>
      <c r="G908" s="20"/>
      <c r="H908" s="3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 spans="1:34" ht="15.75" customHeight="1" x14ac:dyDescent="0.25">
      <c r="A909" s="3"/>
      <c r="B909" s="3"/>
      <c r="C909" s="18"/>
      <c r="D909" s="18"/>
      <c r="E909" s="19"/>
      <c r="F909" s="19"/>
      <c r="G909" s="20"/>
      <c r="H909" s="3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 spans="1:34" ht="15.75" customHeight="1" x14ac:dyDescent="0.25">
      <c r="A910" s="3"/>
      <c r="B910" s="3"/>
      <c r="C910" s="18"/>
      <c r="D910" s="18"/>
      <c r="E910" s="19"/>
      <c r="F910" s="19"/>
      <c r="G910" s="20"/>
      <c r="H910" s="3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 spans="1:34" ht="15.75" customHeight="1" x14ac:dyDescent="0.25">
      <c r="A911" s="3"/>
      <c r="B911" s="3"/>
      <c r="C911" s="18"/>
      <c r="D911" s="18"/>
      <c r="E911" s="19"/>
      <c r="F911" s="19"/>
      <c r="G911" s="20"/>
      <c r="H911" s="3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5.75" customHeight="1" x14ac:dyDescent="0.25">
      <c r="A912" s="3"/>
      <c r="B912" s="3"/>
      <c r="C912" s="18"/>
      <c r="D912" s="18"/>
      <c r="E912" s="19"/>
      <c r="F912" s="19"/>
      <c r="G912" s="20"/>
      <c r="H912" s="3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5.75" customHeight="1" x14ac:dyDescent="0.25">
      <c r="A913" s="3"/>
      <c r="B913" s="3"/>
      <c r="C913" s="18"/>
      <c r="D913" s="18"/>
      <c r="E913" s="19"/>
      <c r="F913" s="19"/>
      <c r="G913" s="20"/>
      <c r="H913" s="3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5.75" customHeight="1" x14ac:dyDescent="0.25">
      <c r="A914" s="3"/>
      <c r="B914" s="3"/>
      <c r="C914" s="18"/>
      <c r="D914" s="18"/>
      <c r="E914" s="19"/>
      <c r="F914" s="19"/>
      <c r="G914" s="20"/>
      <c r="H914" s="3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5.75" customHeight="1" x14ac:dyDescent="0.25">
      <c r="A915" s="3"/>
      <c r="B915" s="3"/>
      <c r="C915" s="18"/>
      <c r="D915" s="18"/>
      <c r="E915" s="19"/>
      <c r="F915" s="19"/>
      <c r="G915" s="20"/>
      <c r="H915" s="3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 spans="1:34" ht="15.75" customHeight="1" x14ac:dyDescent="0.25">
      <c r="A916" s="3"/>
      <c r="B916" s="3"/>
      <c r="C916" s="18"/>
      <c r="D916" s="18"/>
      <c r="E916" s="19"/>
      <c r="F916" s="19"/>
      <c r="G916" s="20"/>
      <c r="H916" s="3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 spans="1:34" ht="15.75" customHeight="1" x14ac:dyDescent="0.25">
      <c r="A917" s="3"/>
      <c r="B917" s="3"/>
      <c r="C917" s="18"/>
      <c r="D917" s="18"/>
      <c r="E917" s="19"/>
      <c r="F917" s="19"/>
      <c r="G917" s="20"/>
      <c r="H917" s="3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pans="1:34" ht="15.75" customHeight="1" x14ac:dyDescent="0.25">
      <c r="A918" s="3"/>
      <c r="B918" s="3"/>
      <c r="C918" s="18"/>
      <c r="D918" s="18"/>
      <c r="E918" s="19"/>
      <c r="F918" s="19"/>
      <c r="G918" s="20"/>
      <c r="H918" s="3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pans="1:34" ht="15.75" customHeight="1" x14ac:dyDescent="0.25">
      <c r="A919" s="3"/>
      <c r="B919" s="3"/>
      <c r="C919" s="18"/>
      <c r="D919" s="18"/>
      <c r="E919" s="19"/>
      <c r="F919" s="19"/>
      <c r="G919" s="20"/>
      <c r="H919" s="3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pans="1:34" ht="15.75" customHeight="1" x14ac:dyDescent="0.25">
      <c r="A920" s="3"/>
      <c r="B920" s="3"/>
      <c r="C920" s="18"/>
      <c r="D920" s="18"/>
      <c r="E920" s="19"/>
      <c r="F920" s="19"/>
      <c r="G920" s="20"/>
      <c r="H920" s="3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pans="1:34" ht="15.75" customHeight="1" x14ac:dyDescent="0.25">
      <c r="A921" s="3"/>
      <c r="B921" s="3"/>
      <c r="C921" s="18"/>
      <c r="D921" s="18"/>
      <c r="E921" s="19"/>
      <c r="F921" s="19"/>
      <c r="G921" s="20"/>
      <c r="H921" s="3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 spans="1:34" ht="15.75" customHeight="1" x14ac:dyDescent="0.25">
      <c r="A922" s="3"/>
      <c r="B922" s="3"/>
      <c r="C922" s="18"/>
      <c r="D922" s="18"/>
      <c r="E922" s="19"/>
      <c r="F922" s="19"/>
      <c r="G922" s="20"/>
      <c r="H922" s="3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 spans="1:34" ht="15.75" customHeight="1" x14ac:dyDescent="0.25">
      <c r="A923" s="3"/>
      <c r="B923" s="3"/>
      <c r="C923" s="18"/>
      <c r="D923" s="18"/>
      <c r="E923" s="19"/>
      <c r="F923" s="19"/>
      <c r="G923" s="20"/>
      <c r="H923" s="3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 spans="1:34" ht="15.75" customHeight="1" x14ac:dyDescent="0.25">
      <c r="A924" s="3"/>
      <c r="B924" s="3"/>
      <c r="C924" s="18"/>
      <c r="D924" s="18"/>
      <c r="E924" s="19"/>
      <c r="F924" s="19"/>
      <c r="G924" s="20"/>
      <c r="H924" s="3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 spans="1:34" ht="15.75" customHeight="1" x14ac:dyDescent="0.25">
      <c r="A925" s="3"/>
      <c r="B925" s="3"/>
      <c r="C925" s="18"/>
      <c r="D925" s="18"/>
      <c r="E925" s="19"/>
      <c r="F925" s="19"/>
      <c r="G925" s="20"/>
      <c r="H925" s="3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 spans="1:34" ht="15.75" customHeight="1" x14ac:dyDescent="0.25">
      <c r="A926" s="3"/>
      <c r="B926" s="3"/>
      <c r="C926" s="18"/>
      <c r="D926" s="18"/>
      <c r="E926" s="19"/>
      <c r="F926" s="19"/>
      <c r="G926" s="20"/>
      <c r="H926" s="3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pans="1:34" ht="15.75" customHeight="1" x14ac:dyDescent="0.25">
      <c r="A927" s="3"/>
      <c r="B927" s="3"/>
      <c r="C927" s="18"/>
      <c r="D927" s="18"/>
      <c r="E927" s="19"/>
      <c r="F927" s="19"/>
      <c r="G927" s="20"/>
      <c r="H927" s="3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5.75" customHeight="1" x14ac:dyDescent="0.25">
      <c r="A928" s="3"/>
      <c r="B928" s="3"/>
      <c r="C928" s="18"/>
      <c r="D928" s="18"/>
      <c r="E928" s="19"/>
      <c r="F928" s="19"/>
      <c r="G928" s="20"/>
      <c r="H928" s="3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34" ht="15.75" customHeight="1" x14ac:dyDescent="0.25">
      <c r="A929" s="3"/>
      <c r="B929" s="3"/>
      <c r="C929" s="18"/>
      <c r="D929" s="18"/>
      <c r="E929" s="19"/>
      <c r="F929" s="19"/>
      <c r="G929" s="20"/>
      <c r="H929" s="3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 spans="1:34" ht="15.75" customHeight="1" x14ac:dyDescent="0.25">
      <c r="A930" s="3"/>
      <c r="B930" s="3"/>
      <c r="C930" s="18"/>
      <c r="D930" s="18"/>
      <c r="E930" s="19"/>
      <c r="F930" s="19"/>
      <c r="G930" s="20"/>
      <c r="H930" s="3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pans="1:34" ht="15.75" customHeight="1" x14ac:dyDescent="0.25">
      <c r="A931" s="3"/>
      <c r="B931" s="3"/>
      <c r="C931" s="18"/>
      <c r="D931" s="18"/>
      <c r="E931" s="19"/>
      <c r="F931" s="19"/>
      <c r="G931" s="20"/>
      <c r="H931" s="3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pans="1:34" ht="15.75" customHeight="1" x14ac:dyDescent="0.25">
      <c r="A932" s="3"/>
      <c r="B932" s="3"/>
      <c r="C932" s="18"/>
      <c r="D932" s="18"/>
      <c r="E932" s="19"/>
      <c r="F932" s="19"/>
      <c r="G932" s="20"/>
      <c r="H932" s="3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pans="1:34" ht="15.75" customHeight="1" x14ac:dyDescent="0.25">
      <c r="A933" s="3"/>
      <c r="B933" s="3"/>
      <c r="C933" s="18"/>
      <c r="D933" s="18"/>
      <c r="E933" s="19"/>
      <c r="F933" s="19"/>
      <c r="G933" s="20"/>
      <c r="H933" s="3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pans="1:34" ht="15.75" customHeight="1" x14ac:dyDescent="0.25">
      <c r="A934" s="3"/>
      <c r="B934" s="3"/>
      <c r="C934" s="18"/>
      <c r="D934" s="18"/>
      <c r="E934" s="19"/>
      <c r="F934" s="19"/>
      <c r="G934" s="20"/>
      <c r="H934" s="3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pans="1:34" ht="15.75" customHeight="1" x14ac:dyDescent="0.25">
      <c r="A935" s="3"/>
      <c r="B935" s="3"/>
      <c r="C935" s="18"/>
      <c r="D935" s="18"/>
      <c r="E935" s="19"/>
      <c r="F935" s="19"/>
      <c r="G935" s="20"/>
      <c r="H935" s="3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pans="1:34" ht="15.75" customHeight="1" x14ac:dyDescent="0.25">
      <c r="A936" s="3"/>
      <c r="B936" s="3"/>
      <c r="C936" s="18"/>
      <c r="D936" s="18"/>
      <c r="E936" s="19"/>
      <c r="F936" s="19"/>
      <c r="G936" s="20"/>
      <c r="H936" s="3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pans="1:34" ht="15.75" customHeight="1" x14ac:dyDescent="0.25">
      <c r="A937" s="3"/>
      <c r="B937" s="3"/>
      <c r="C937" s="18"/>
      <c r="D937" s="18"/>
      <c r="E937" s="19"/>
      <c r="F937" s="19"/>
      <c r="G937" s="20"/>
      <c r="H937" s="3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pans="1:34" ht="15.75" customHeight="1" x14ac:dyDescent="0.25">
      <c r="A938" s="3"/>
      <c r="B938" s="3"/>
      <c r="C938" s="18"/>
      <c r="D938" s="18"/>
      <c r="E938" s="19"/>
      <c r="F938" s="19"/>
      <c r="G938" s="20"/>
      <c r="H938" s="3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pans="1:34" ht="15.75" customHeight="1" x14ac:dyDescent="0.25">
      <c r="A939" s="3"/>
      <c r="B939" s="3"/>
      <c r="C939" s="18"/>
      <c r="D939" s="18"/>
      <c r="E939" s="19"/>
      <c r="F939" s="19"/>
      <c r="G939" s="20"/>
      <c r="H939" s="3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34" ht="15.75" customHeight="1" x14ac:dyDescent="0.25">
      <c r="A940" s="3"/>
      <c r="B940" s="3"/>
      <c r="C940" s="18"/>
      <c r="D940" s="18"/>
      <c r="E940" s="19"/>
      <c r="F940" s="19"/>
      <c r="G940" s="20"/>
      <c r="H940" s="3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34" ht="15.75" customHeight="1" x14ac:dyDescent="0.25">
      <c r="A941" s="3"/>
      <c r="B941" s="3"/>
      <c r="C941" s="18"/>
      <c r="D941" s="18"/>
      <c r="E941" s="19"/>
      <c r="F941" s="19"/>
      <c r="G941" s="20"/>
      <c r="H941" s="3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34" ht="15.75" customHeight="1" x14ac:dyDescent="0.25">
      <c r="A942" s="3"/>
      <c r="B942" s="3"/>
      <c r="C942" s="18"/>
      <c r="D942" s="18"/>
      <c r="E942" s="19"/>
      <c r="F942" s="19"/>
      <c r="G942" s="20"/>
      <c r="H942" s="3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34" ht="15.75" customHeight="1" x14ac:dyDescent="0.25">
      <c r="A943" s="3"/>
      <c r="B943" s="3"/>
      <c r="C943" s="18"/>
      <c r="D943" s="18"/>
      <c r="E943" s="19"/>
      <c r="F943" s="19"/>
      <c r="G943" s="20"/>
      <c r="H943" s="3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pans="1:34" ht="15.75" customHeight="1" x14ac:dyDescent="0.25">
      <c r="A944" s="3"/>
      <c r="B944" s="3"/>
      <c r="C944" s="18"/>
      <c r="D944" s="18"/>
      <c r="E944" s="19"/>
      <c r="F944" s="19"/>
      <c r="G944" s="20"/>
      <c r="H944" s="3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pans="1:34" ht="15.75" customHeight="1" x14ac:dyDescent="0.25">
      <c r="A945" s="3"/>
      <c r="B945" s="3"/>
      <c r="C945" s="18"/>
      <c r="D945" s="18"/>
      <c r="E945" s="19"/>
      <c r="F945" s="19"/>
      <c r="G945" s="20"/>
      <c r="H945" s="3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pans="1:34" ht="15.75" customHeight="1" x14ac:dyDescent="0.25">
      <c r="A946" s="3"/>
      <c r="B946" s="3"/>
      <c r="C946" s="18"/>
      <c r="D946" s="18"/>
      <c r="E946" s="19"/>
      <c r="F946" s="19"/>
      <c r="G946" s="20"/>
      <c r="H946" s="3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pans="1:34" ht="15.75" customHeight="1" x14ac:dyDescent="0.25">
      <c r="A947" s="3"/>
      <c r="B947" s="3"/>
      <c r="C947" s="18"/>
      <c r="D947" s="18"/>
      <c r="E947" s="19"/>
      <c r="F947" s="19"/>
      <c r="G947" s="20"/>
      <c r="H947" s="3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5.75" customHeight="1" x14ac:dyDescent="0.25">
      <c r="A948" s="3"/>
      <c r="B948" s="3"/>
      <c r="C948" s="18"/>
      <c r="D948" s="18"/>
      <c r="E948" s="19"/>
      <c r="F948" s="19"/>
      <c r="G948" s="20"/>
      <c r="H948" s="3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5.75" customHeight="1" x14ac:dyDescent="0.25">
      <c r="A949" s="3"/>
      <c r="B949" s="3"/>
      <c r="C949" s="18"/>
      <c r="D949" s="18"/>
      <c r="E949" s="19"/>
      <c r="F949" s="19"/>
      <c r="G949" s="20"/>
      <c r="H949" s="3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5.75" customHeight="1" x14ac:dyDescent="0.25">
      <c r="A950" s="3"/>
      <c r="B950" s="3"/>
      <c r="C950" s="18"/>
      <c r="D950" s="18"/>
      <c r="E950" s="19"/>
      <c r="F950" s="19"/>
      <c r="G950" s="20"/>
      <c r="H950" s="3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5.75" customHeight="1" x14ac:dyDescent="0.25">
      <c r="A951" s="3"/>
      <c r="B951" s="3"/>
      <c r="C951" s="18"/>
      <c r="D951" s="18"/>
      <c r="E951" s="19"/>
      <c r="F951" s="19"/>
      <c r="G951" s="20"/>
      <c r="H951" s="3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 spans="1:34" ht="15.75" customHeight="1" x14ac:dyDescent="0.25">
      <c r="A952" s="3"/>
      <c r="B952" s="3"/>
      <c r="C952" s="18"/>
      <c r="D952" s="18"/>
      <c r="E952" s="19"/>
      <c r="F952" s="19"/>
      <c r="G952" s="20"/>
      <c r="H952" s="3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pans="1:34" ht="15.75" customHeight="1" x14ac:dyDescent="0.25">
      <c r="A953" s="3"/>
      <c r="B953" s="3"/>
      <c r="C953" s="18"/>
      <c r="D953" s="18"/>
      <c r="E953" s="19"/>
      <c r="F953" s="19"/>
      <c r="G953" s="20"/>
      <c r="H953" s="3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5.75" customHeight="1" x14ac:dyDescent="0.25">
      <c r="A954" s="3"/>
      <c r="B954" s="3"/>
      <c r="C954" s="18"/>
      <c r="D954" s="18"/>
      <c r="E954" s="19"/>
      <c r="F954" s="19"/>
      <c r="G954" s="20"/>
      <c r="H954" s="3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5.75" customHeight="1" x14ac:dyDescent="0.25">
      <c r="A955" s="3"/>
      <c r="B955" s="3"/>
      <c r="C955" s="18"/>
      <c r="D955" s="18"/>
      <c r="E955" s="19"/>
      <c r="F955" s="19"/>
      <c r="G955" s="20"/>
      <c r="H955" s="3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 spans="1:34" ht="15.75" customHeight="1" x14ac:dyDescent="0.25">
      <c r="A956" s="3"/>
      <c r="B956" s="3"/>
      <c r="C956" s="18"/>
      <c r="D956" s="18"/>
      <c r="E956" s="19"/>
      <c r="F956" s="19"/>
      <c r="G956" s="20"/>
      <c r="H956" s="3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pans="1:34" ht="15.75" customHeight="1" x14ac:dyDescent="0.25">
      <c r="A957" s="3"/>
      <c r="B957" s="3"/>
      <c r="C957" s="18"/>
      <c r="D957" s="18"/>
      <c r="E957" s="19"/>
      <c r="F957" s="19"/>
      <c r="G957" s="20"/>
      <c r="H957" s="3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5.75" customHeight="1" x14ac:dyDescent="0.25">
      <c r="A958" s="3"/>
      <c r="B958" s="3"/>
      <c r="C958" s="18"/>
      <c r="D958" s="18"/>
      <c r="E958" s="19"/>
      <c r="F958" s="19"/>
      <c r="G958" s="20"/>
      <c r="H958" s="3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5.75" customHeight="1" x14ac:dyDescent="0.25">
      <c r="A959" s="3"/>
      <c r="B959" s="3"/>
      <c r="C959" s="18"/>
      <c r="D959" s="18"/>
      <c r="E959" s="19"/>
      <c r="F959" s="19"/>
      <c r="G959" s="20"/>
      <c r="H959" s="3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5.75" customHeight="1" x14ac:dyDescent="0.25">
      <c r="A960" s="3"/>
      <c r="B960" s="3"/>
      <c r="C960" s="18"/>
      <c r="D960" s="18"/>
      <c r="E960" s="19"/>
      <c r="F960" s="19"/>
      <c r="G960" s="20"/>
      <c r="H960" s="3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5.75" customHeight="1" x14ac:dyDescent="0.25">
      <c r="A961" s="3"/>
      <c r="B961" s="3"/>
      <c r="C961" s="18"/>
      <c r="D961" s="18"/>
      <c r="E961" s="19"/>
      <c r="F961" s="19"/>
      <c r="G961" s="20"/>
      <c r="H961" s="3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5.75" customHeight="1" x14ac:dyDescent="0.25">
      <c r="A962" s="3"/>
      <c r="B962" s="3"/>
      <c r="C962" s="18"/>
      <c r="D962" s="18"/>
      <c r="E962" s="19"/>
      <c r="F962" s="19"/>
      <c r="G962" s="20"/>
      <c r="H962" s="3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5.75" customHeight="1" x14ac:dyDescent="0.25">
      <c r="A963" s="3"/>
      <c r="B963" s="3"/>
      <c r="C963" s="18"/>
      <c r="D963" s="18"/>
      <c r="E963" s="19"/>
      <c r="F963" s="19"/>
      <c r="G963" s="20"/>
      <c r="H963" s="3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5.75" customHeight="1" x14ac:dyDescent="0.25">
      <c r="A964" s="3"/>
      <c r="B964" s="3"/>
      <c r="C964" s="18"/>
      <c r="D964" s="18"/>
      <c r="E964" s="19"/>
      <c r="F964" s="19"/>
      <c r="G964" s="20"/>
      <c r="H964" s="3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5.75" customHeight="1" x14ac:dyDescent="0.25">
      <c r="A965" s="3"/>
      <c r="B965" s="3"/>
      <c r="C965" s="18"/>
      <c r="D965" s="18"/>
      <c r="E965" s="19"/>
      <c r="F965" s="19"/>
      <c r="G965" s="20"/>
      <c r="H965" s="3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pans="1:34" ht="15.75" customHeight="1" x14ac:dyDescent="0.25">
      <c r="A966" s="3"/>
      <c r="B966" s="3"/>
      <c r="C966" s="18"/>
      <c r="D966" s="18"/>
      <c r="E966" s="19"/>
      <c r="F966" s="19"/>
      <c r="G966" s="20"/>
      <c r="H966" s="3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pans="1:34" ht="15.75" customHeight="1" x14ac:dyDescent="0.25">
      <c r="A967" s="3"/>
      <c r="B967" s="3"/>
      <c r="C967" s="18"/>
      <c r="D967" s="18"/>
      <c r="E967" s="19"/>
      <c r="F967" s="19"/>
      <c r="G967" s="20"/>
      <c r="H967" s="3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 spans="1:34" ht="15.75" customHeight="1" x14ac:dyDescent="0.25">
      <c r="A968" s="3"/>
      <c r="B968" s="3"/>
      <c r="C968" s="18"/>
      <c r="D968" s="18"/>
      <c r="E968" s="19"/>
      <c r="F968" s="19"/>
      <c r="G968" s="20"/>
      <c r="H968" s="3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 spans="1:34" ht="15.75" customHeight="1" x14ac:dyDescent="0.25">
      <c r="A969" s="3"/>
      <c r="B969" s="3"/>
      <c r="C969" s="18"/>
      <c r="D969" s="18"/>
      <c r="E969" s="19"/>
      <c r="F969" s="19"/>
      <c r="G969" s="20"/>
      <c r="H969" s="3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5.75" customHeight="1" x14ac:dyDescent="0.25">
      <c r="A970" s="3"/>
      <c r="B970" s="3"/>
      <c r="C970" s="18"/>
      <c r="D970" s="18"/>
      <c r="E970" s="19"/>
      <c r="F970" s="19"/>
      <c r="G970" s="20"/>
      <c r="H970" s="3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5.75" customHeight="1" x14ac:dyDescent="0.25">
      <c r="A971" s="3"/>
      <c r="B971" s="3"/>
      <c r="C971" s="18"/>
      <c r="D971" s="18"/>
      <c r="E971" s="19"/>
      <c r="F971" s="19"/>
      <c r="G971" s="20"/>
      <c r="H971" s="3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 spans="1:34" ht="15.75" customHeight="1" x14ac:dyDescent="0.25">
      <c r="A972" s="3"/>
      <c r="B972" s="3"/>
      <c r="C972" s="18"/>
      <c r="D972" s="18"/>
      <c r="E972" s="19"/>
      <c r="F972" s="19"/>
      <c r="G972" s="20"/>
      <c r="H972" s="3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 spans="1:34" ht="15.75" customHeight="1" x14ac:dyDescent="0.25">
      <c r="A973" s="3"/>
      <c r="B973" s="3"/>
      <c r="C973" s="18"/>
      <c r="D973" s="18"/>
      <c r="E973" s="19"/>
      <c r="F973" s="19"/>
      <c r="G973" s="20"/>
      <c r="H973" s="3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 spans="1:34" ht="15.75" customHeight="1" x14ac:dyDescent="0.25">
      <c r="A974" s="3"/>
      <c r="B974" s="3"/>
      <c r="C974" s="18"/>
      <c r="D974" s="18"/>
      <c r="E974" s="19"/>
      <c r="F974" s="19"/>
      <c r="G974" s="20"/>
      <c r="H974" s="3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  <row r="975" spans="1:34" ht="15.75" customHeight="1" x14ac:dyDescent="0.25">
      <c r="A975" s="3"/>
      <c r="B975" s="3"/>
      <c r="C975" s="18"/>
      <c r="D975" s="18"/>
      <c r="E975" s="19"/>
      <c r="F975" s="19"/>
      <c r="G975" s="20"/>
      <c r="H975" s="3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5.75" customHeight="1" x14ac:dyDescent="0.25">
      <c r="A976" s="3"/>
      <c r="B976" s="3"/>
      <c r="C976" s="18"/>
      <c r="D976" s="18"/>
      <c r="E976" s="19"/>
      <c r="F976" s="19"/>
      <c r="G976" s="20"/>
      <c r="H976" s="3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5.75" customHeight="1" x14ac:dyDescent="0.25">
      <c r="A977" s="3"/>
      <c r="B977" s="3"/>
      <c r="C977" s="18"/>
      <c r="D977" s="18"/>
      <c r="E977" s="19"/>
      <c r="F977" s="19"/>
      <c r="G977" s="20"/>
      <c r="H977" s="3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</row>
    <row r="978" spans="1:34" ht="15.75" customHeight="1" x14ac:dyDescent="0.25">
      <c r="A978" s="3"/>
      <c r="B978" s="3"/>
      <c r="C978" s="18"/>
      <c r="D978" s="18"/>
      <c r="E978" s="19"/>
      <c r="F978" s="19"/>
      <c r="G978" s="20"/>
      <c r="H978" s="3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</row>
    <row r="979" spans="1:34" ht="15.75" customHeight="1" x14ac:dyDescent="0.25">
      <c r="A979" s="3"/>
      <c r="B979" s="3"/>
      <c r="C979" s="18"/>
      <c r="D979" s="18"/>
      <c r="E979" s="19"/>
      <c r="F979" s="19"/>
      <c r="G979" s="20"/>
      <c r="H979" s="3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</row>
    <row r="980" spans="1:34" ht="15.75" customHeight="1" x14ac:dyDescent="0.25">
      <c r="A980" s="3"/>
      <c r="B980" s="3"/>
      <c r="C980" s="18"/>
      <c r="D980" s="18"/>
      <c r="E980" s="19"/>
      <c r="F980" s="19"/>
      <c r="G980" s="20"/>
      <c r="H980" s="3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</row>
    <row r="981" spans="1:34" ht="15.75" customHeight="1" x14ac:dyDescent="0.25">
      <c r="A981" s="3"/>
      <c r="B981" s="3"/>
      <c r="C981" s="18"/>
      <c r="D981" s="18"/>
      <c r="E981" s="19"/>
      <c r="F981" s="19"/>
      <c r="G981" s="20"/>
      <c r="H981" s="3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</row>
    <row r="982" spans="1:34" ht="15.75" customHeight="1" x14ac:dyDescent="0.25">
      <c r="A982" s="3"/>
      <c r="B982" s="3"/>
      <c r="C982" s="18"/>
      <c r="D982" s="18"/>
      <c r="E982" s="19"/>
      <c r="F982" s="19"/>
      <c r="G982" s="20"/>
      <c r="H982" s="3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</row>
    <row r="983" spans="1:34" ht="15.75" customHeight="1" x14ac:dyDescent="0.25">
      <c r="A983" s="3"/>
      <c r="B983" s="3"/>
      <c r="C983" s="18"/>
      <c r="D983" s="18"/>
      <c r="E983" s="19"/>
      <c r="F983" s="19"/>
      <c r="G983" s="20"/>
      <c r="H983" s="3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</row>
    <row r="984" spans="1:34" ht="15.75" customHeight="1" x14ac:dyDescent="0.25">
      <c r="A984" s="3"/>
      <c r="B984" s="3"/>
      <c r="C984" s="18"/>
      <c r="D984" s="18"/>
      <c r="E984" s="19"/>
      <c r="F984" s="19"/>
      <c r="G984" s="20"/>
      <c r="H984" s="3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</row>
    <row r="985" spans="1:34" ht="15.75" customHeight="1" x14ac:dyDescent="0.25">
      <c r="A985" s="3"/>
      <c r="B985" s="3"/>
      <c r="C985" s="18"/>
      <c r="D985" s="18"/>
      <c r="E985" s="19"/>
      <c r="F985" s="19"/>
      <c r="G985" s="20"/>
      <c r="H985" s="3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</row>
    <row r="986" spans="1:34" ht="15.75" customHeight="1" x14ac:dyDescent="0.25">
      <c r="A986" s="3"/>
      <c r="B986" s="3"/>
      <c r="C986" s="18"/>
      <c r="D986" s="18"/>
      <c r="E986" s="19"/>
      <c r="F986" s="19"/>
      <c r="G986" s="20"/>
      <c r="H986" s="3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</row>
    <row r="987" spans="1:34" ht="15.75" customHeight="1" x14ac:dyDescent="0.25">
      <c r="A987" s="3"/>
      <c r="B987" s="3"/>
      <c r="C987" s="18"/>
      <c r="D987" s="18"/>
      <c r="E987" s="19"/>
      <c r="F987" s="19"/>
      <c r="G987" s="20"/>
      <c r="H987" s="3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5.75" customHeight="1" x14ac:dyDescent="0.25">
      <c r="A988" s="3"/>
      <c r="B988" s="3"/>
      <c r="C988" s="18"/>
      <c r="D988" s="18"/>
      <c r="E988" s="19"/>
      <c r="F988" s="19"/>
      <c r="G988" s="20"/>
      <c r="H988" s="3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5.75" customHeight="1" x14ac:dyDescent="0.25">
      <c r="A989" s="3"/>
      <c r="B989" s="3"/>
      <c r="C989" s="18"/>
      <c r="D989" s="18"/>
      <c r="E989" s="19"/>
      <c r="F989" s="19"/>
      <c r="G989" s="20"/>
      <c r="H989" s="3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</row>
    <row r="990" spans="1:34" ht="15.75" customHeight="1" x14ac:dyDescent="0.25">
      <c r="A990" s="3"/>
      <c r="B990" s="3"/>
      <c r="C990" s="18"/>
      <c r="D990" s="18"/>
      <c r="E990" s="19"/>
      <c r="F990" s="19"/>
      <c r="G990" s="20"/>
      <c r="H990" s="3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</row>
    <row r="991" spans="1:34" ht="15.75" customHeight="1" x14ac:dyDescent="0.25">
      <c r="A991" s="3"/>
      <c r="B991" s="3"/>
      <c r="C991" s="18"/>
      <c r="D991" s="18"/>
      <c r="E991" s="19"/>
      <c r="F991" s="19"/>
      <c r="G991" s="20"/>
      <c r="H991" s="3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</row>
    <row r="992" spans="1:34" ht="15.75" customHeight="1" x14ac:dyDescent="0.25">
      <c r="A992" s="3"/>
      <c r="B992" s="3"/>
      <c r="C992" s="18"/>
      <c r="D992" s="18"/>
      <c r="E992" s="19"/>
      <c r="F992" s="19"/>
      <c r="G992" s="20"/>
      <c r="H992" s="3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</row>
    <row r="993" spans="1:34" ht="15.75" customHeight="1" x14ac:dyDescent="0.25">
      <c r="A993" s="3"/>
      <c r="B993" s="3"/>
      <c r="C993" s="18"/>
      <c r="D993" s="18"/>
      <c r="E993" s="19"/>
      <c r="F993" s="19"/>
      <c r="G993" s="20"/>
      <c r="H993" s="3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5.75" customHeight="1" x14ac:dyDescent="0.25">
      <c r="A994" s="3"/>
      <c r="B994" s="3"/>
      <c r="C994" s="18"/>
      <c r="D994" s="18"/>
      <c r="E994" s="19"/>
      <c r="F994" s="19"/>
      <c r="G994" s="20"/>
      <c r="H994" s="3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5.75" customHeight="1" x14ac:dyDescent="0.25">
      <c r="A995" s="3"/>
      <c r="B995" s="3"/>
      <c r="C995" s="18"/>
      <c r="D995" s="18"/>
      <c r="E995" s="19"/>
      <c r="F995" s="19"/>
      <c r="G995" s="20"/>
      <c r="H995" s="3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5.75" customHeight="1" x14ac:dyDescent="0.25">
      <c r="A996" s="3"/>
      <c r="B996" s="3"/>
      <c r="C996" s="18"/>
      <c r="D996" s="18"/>
      <c r="E996" s="19"/>
      <c r="F996" s="19"/>
      <c r="G996" s="20"/>
      <c r="H996" s="3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5.75" customHeight="1" x14ac:dyDescent="0.25">
      <c r="A997" s="3"/>
      <c r="B997" s="3"/>
      <c r="C997" s="18"/>
      <c r="D997" s="18"/>
      <c r="E997" s="19"/>
      <c r="F997" s="19"/>
      <c r="G997" s="20"/>
      <c r="H997" s="3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5.75" customHeight="1" x14ac:dyDescent="0.25">
      <c r="A998" s="3"/>
      <c r="B998" s="3"/>
      <c r="C998" s="18"/>
      <c r="D998" s="18"/>
      <c r="E998" s="19"/>
      <c r="F998" s="19"/>
      <c r="G998" s="20"/>
      <c r="H998" s="3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5.75" customHeight="1" x14ac:dyDescent="0.25">
      <c r="A999" s="3"/>
      <c r="B999" s="3"/>
      <c r="C999" s="18"/>
      <c r="D999" s="18"/>
      <c r="E999" s="19"/>
      <c r="F999" s="19"/>
      <c r="G999" s="20"/>
      <c r="H999" s="3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</row>
    <row r="1000" spans="1:34" ht="15.75" customHeight="1" x14ac:dyDescent="0.25">
      <c r="A1000" s="3"/>
      <c r="B1000" s="3"/>
      <c r="C1000" s="18"/>
      <c r="D1000" s="18"/>
      <c r="E1000" s="19"/>
      <c r="F1000" s="19"/>
      <c r="G1000" s="20"/>
      <c r="H1000" s="3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</row>
    <row r="1001" spans="1:34" ht="15.75" customHeight="1" x14ac:dyDescent="0.25">
      <c r="A1001" s="3"/>
      <c r="B1001" s="3"/>
      <c r="C1001" s="18"/>
      <c r="D1001" s="18"/>
      <c r="E1001" s="19"/>
      <c r="F1001" s="19"/>
      <c r="G1001" s="20"/>
      <c r="H1001" s="3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</row>
    <row r="1002" spans="1:34" ht="15.75" customHeight="1" x14ac:dyDescent="0.25">
      <c r="A1002" s="3"/>
      <c r="B1002" s="3"/>
      <c r="C1002" s="18"/>
      <c r="D1002" s="18"/>
      <c r="E1002" s="19"/>
      <c r="F1002" s="19"/>
      <c r="G1002" s="20"/>
      <c r="H1002" s="3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</row>
    <row r="1003" spans="1:34" ht="15.75" customHeight="1" x14ac:dyDescent="0.25">
      <c r="A1003" s="3"/>
      <c r="B1003" s="3"/>
      <c r="C1003" s="18"/>
      <c r="D1003" s="18"/>
      <c r="E1003" s="19"/>
      <c r="F1003" s="19"/>
      <c r="G1003" s="20"/>
      <c r="H1003" s="3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</row>
    <row r="1004" spans="1:34" ht="15.75" customHeight="1" x14ac:dyDescent="0.25">
      <c r="A1004" s="3"/>
      <c r="B1004" s="3"/>
      <c r="C1004" s="18"/>
      <c r="D1004" s="18"/>
      <c r="E1004" s="19"/>
      <c r="F1004" s="19"/>
      <c r="G1004" s="20"/>
      <c r="H1004" s="3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</row>
    <row r="1005" spans="1:34" ht="15.75" customHeight="1" x14ac:dyDescent="0.25">
      <c r="A1005" s="3"/>
      <c r="B1005" s="3"/>
      <c r="C1005" s="18"/>
      <c r="D1005" s="18"/>
      <c r="E1005" s="19"/>
      <c r="F1005" s="19"/>
      <c r="G1005" s="20"/>
      <c r="H1005" s="3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</row>
    <row r="1006" spans="1:34" ht="15.75" customHeight="1" x14ac:dyDescent="0.25">
      <c r="A1006" s="3"/>
      <c r="B1006" s="3"/>
      <c r="C1006" s="18"/>
      <c r="D1006" s="18"/>
      <c r="E1006" s="19"/>
      <c r="F1006" s="19"/>
      <c r="G1006" s="20"/>
      <c r="H1006" s="3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</row>
    <row r="1007" spans="1:34" ht="15.75" customHeight="1" x14ac:dyDescent="0.25">
      <c r="A1007" s="3"/>
      <c r="B1007" s="3"/>
      <c r="C1007" s="18"/>
      <c r="D1007" s="18"/>
      <c r="E1007" s="19"/>
      <c r="F1007" s="19"/>
      <c r="G1007" s="20"/>
      <c r="H1007" s="3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</row>
    <row r="1008" spans="1:34" ht="15.75" customHeight="1" x14ac:dyDescent="0.25">
      <c r="A1008" s="3"/>
      <c r="B1008" s="3"/>
      <c r="C1008" s="18"/>
      <c r="D1008" s="18"/>
      <c r="E1008" s="19"/>
      <c r="F1008" s="19"/>
      <c r="G1008" s="20"/>
      <c r="H1008" s="3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</row>
    <row r="1009" spans="1:34" ht="15.75" customHeight="1" x14ac:dyDescent="0.25">
      <c r="A1009" s="3"/>
      <c r="B1009" s="3"/>
      <c r="C1009" s="18"/>
      <c r="D1009" s="18"/>
      <c r="E1009" s="19"/>
      <c r="F1009" s="19"/>
      <c r="G1009" s="20"/>
      <c r="H1009" s="3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ht="15.75" customHeight="1" x14ac:dyDescent="0.25">
      <c r="A1010" s="3"/>
      <c r="B1010" s="3"/>
      <c r="C1010" s="18"/>
      <c r="D1010" s="18"/>
      <c r="E1010" s="19"/>
      <c r="F1010" s="19"/>
      <c r="G1010" s="20"/>
      <c r="H1010" s="3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ht="15.75" customHeight="1" x14ac:dyDescent="0.25">
      <c r="A1011" s="3"/>
      <c r="B1011" s="3"/>
      <c r="C1011" s="18"/>
      <c r="D1011" s="18"/>
      <c r="E1011" s="19"/>
      <c r="F1011" s="19"/>
      <c r="G1011" s="20"/>
      <c r="H1011" s="3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ht="15.75" customHeight="1" x14ac:dyDescent="0.25">
      <c r="A1012" s="3"/>
      <c r="B1012" s="3"/>
      <c r="C1012" s="18"/>
      <c r="D1012" s="18"/>
      <c r="E1012" s="19"/>
      <c r="F1012" s="19"/>
      <c r="G1012" s="20"/>
      <c r="H1012" s="3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ht="15.75" customHeight="1" x14ac:dyDescent="0.25">
      <c r="A1013" s="3"/>
      <c r="B1013" s="3"/>
      <c r="C1013" s="18"/>
      <c r="D1013" s="18"/>
      <c r="E1013" s="19"/>
      <c r="F1013" s="19"/>
      <c r="G1013" s="20"/>
      <c r="H1013" s="3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ht="15.75" customHeight="1" x14ac:dyDescent="0.25">
      <c r="A1014" s="3"/>
      <c r="B1014" s="3"/>
      <c r="C1014" s="18"/>
      <c r="D1014" s="18"/>
      <c r="E1014" s="19"/>
      <c r="F1014" s="19"/>
      <c r="G1014" s="20"/>
      <c r="H1014" s="3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ht="15.75" customHeight="1" x14ac:dyDescent="0.25">
      <c r="A1015" s="3"/>
      <c r="B1015" s="3"/>
      <c r="C1015" s="18"/>
      <c r="D1015" s="18"/>
      <c r="E1015" s="19"/>
      <c r="F1015" s="19"/>
      <c r="G1015" s="20"/>
      <c r="H1015" s="3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ht="15.75" customHeight="1" x14ac:dyDescent="0.25">
      <c r="A1016" s="3"/>
      <c r="B1016" s="3"/>
      <c r="C1016" s="18"/>
      <c r="D1016" s="18"/>
      <c r="E1016" s="19"/>
      <c r="F1016" s="19"/>
      <c r="G1016" s="20"/>
      <c r="H1016" s="3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ht="15.75" customHeight="1" x14ac:dyDescent="0.25">
      <c r="A1017" s="3"/>
      <c r="B1017" s="3"/>
      <c r="C1017" s="18"/>
      <c r="D1017" s="18"/>
      <c r="E1017" s="19"/>
      <c r="F1017" s="19"/>
      <c r="G1017" s="20"/>
      <c r="H1017" s="3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</row>
    <row r="1018" spans="1:34" ht="15.75" customHeight="1" x14ac:dyDescent="0.25">
      <c r="A1018" s="3"/>
      <c r="B1018" s="3"/>
      <c r="C1018" s="18"/>
      <c r="D1018" s="18"/>
      <c r="E1018" s="19"/>
      <c r="F1018" s="19"/>
      <c r="G1018" s="20"/>
      <c r="H1018" s="3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</row>
    <row r="1019" spans="1:34" ht="15.75" customHeight="1" x14ac:dyDescent="0.25">
      <c r="A1019" s="3"/>
      <c r="B1019" s="3"/>
      <c r="C1019" s="18"/>
      <c r="D1019" s="18"/>
      <c r="E1019" s="19"/>
      <c r="F1019" s="19"/>
      <c r="G1019" s="20"/>
      <c r="H1019" s="3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</row>
    <row r="1020" spans="1:34" ht="15.75" customHeight="1" x14ac:dyDescent="0.25">
      <c r="A1020" s="3"/>
      <c r="B1020" s="3"/>
      <c r="C1020" s="18"/>
      <c r="D1020" s="18"/>
      <c r="E1020" s="19"/>
      <c r="F1020" s="19"/>
      <c r="G1020" s="20"/>
      <c r="H1020" s="3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</row>
    <row r="1021" spans="1:34" ht="15.75" customHeight="1" x14ac:dyDescent="0.25">
      <c r="A1021" s="3"/>
      <c r="B1021" s="3"/>
      <c r="C1021" s="18"/>
      <c r="D1021" s="18"/>
      <c r="E1021" s="19"/>
      <c r="F1021" s="19"/>
      <c r="G1021" s="20"/>
      <c r="H1021" s="3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</row>
    <row r="1022" spans="1:34" ht="15.75" customHeight="1" x14ac:dyDescent="0.25">
      <c r="A1022" s="3"/>
      <c r="B1022" s="3"/>
      <c r="C1022" s="18"/>
      <c r="D1022" s="18"/>
      <c r="E1022" s="19"/>
      <c r="F1022" s="19"/>
      <c r="G1022" s="20"/>
      <c r="H1022" s="3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</row>
    <row r="1023" spans="1:34" ht="15.75" customHeight="1" x14ac:dyDescent="0.25">
      <c r="A1023" s="3"/>
      <c r="B1023" s="3"/>
      <c r="C1023" s="18"/>
      <c r="D1023" s="18"/>
      <c r="E1023" s="19"/>
      <c r="F1023" s="19"/>
      <c r="G1023" s="20"/>
      <c r="H1023" s="3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 ht="15.75" customHeight="1" x14ac:dyDescent="0.25">
      <c r="A1024" s="3"/>
      <c r="B1024" s="3"/>
      <c r="C1024" s="18"/>
      <c r="D1024" s="18"/>
      <c r="E1024" s="19"/>
      <c r="F1024" s="19"/>
      <c r="G1024" s="20"/>
      <c r="H1024" s="3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 ht="15.75" customHeight="1" x14ac:dyDescent="0.25">
      <c r="A1025" s="3"/>
      <c r="B1025" s="3"/>
      <c r="C1025" s="18"/>
      <c r="D1025" s="18"/>
      <c r="E1025" s="19"/>
      <c r="F1025" s="19"/>
      <c r="G1025" s="20"/>
      <c r="H1025" s="3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 ht="15.75" customHeight="1" x14ac:dyDescent="0.25">
      <c r="A1026" s="3"/>
      <c r="B1026" s="3"/>
      <c r="C1026" s="18"/>
      <c r="D1026" s="18"/>
      <c r="E1026" s="19"/>
      <c r="F1026" s="19"/>
      <c r="G1026" s="20"/>
      <c r="H1026" s="3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 ht="15.75" customHeight="1" x14ac:dyDescent="0.25">
      <c r="A1027" s="3"/>
      <c r="B1027" s="3"/>
      <c r="C1027" s="18"/>
      <c r="D1027" s="18"/>
      <c r="E1027" s="19"/>
      <c r="F1027" s="19"/>
      <c r="G1027" s="20"/>
      <c r="H1027" s="3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</row>
    <row r="1028" spans="1:34" ht="15.75" customHeight="1" x14ac:dyDescent="0.25">
      <c r="A1028" s="3"/>
      <c r="B1028" s="3"/>
      <c r="C1028" s="18"/>
      <c r="D1028" s="18"/>
      <c r="E1028" s="19"/>
      <c r="F1028" s="19"/>
      <c r="G1028" s="20"/>
      <c r="H1028" s="3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</row>
    <row r="1029" spans="1:34" ht="15.75" customHeight="1" x14ac:dyDescent="0.25">
      <c r="A1029" s="3"/>
      <c r="B1029" s="3"/>
      <c r="C1029" s="18"/>
      <c r="D1029" s="18"/>
      <c r="E1029" s="19"/>
      <c r="F1029" s="19"/>
      <c r="G1029" s="20"/>
      <c r="H1029" s="3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 ht="15.75" customHeight="1" x14ac:dyDescent="0.25">
      <c r="A1030" s="3"/>
      <c r="B1030" s="3"/>
      <c r="C1030" s="18"/>
      <c r="D1030" s="18"/>
      <c r="E1030" s="19"/>
      <c r="F1030" s="19"/>
      <c r="G1030" s="20"/>
      <c r="H1030" s="3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 ht="15.75" customHeight="1" x14ac:dyDescent="0.25">
      <c r="A1031" s="3"/>
      <c r="B1031" s="3"/>
      <c r="C1031" s="18"/>
      <c r="D1031" s="18"/>
      <c r="E1031" s="19"/>
      <c r="F1031" s="19"/>
      <c r="G1031" s="20"/>
      <c r="H1031" s="3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</row>
    <row r="1032" spans="1:34" ht="15.75" customHeight="1" x14ac:dyDescent="0.25">
      <c r="A1032" s="3"/>
      <c r="B1032" s="3"/>
      <c r="C1032" s="18"/>
      <c r="D1032" s="18"/>
      <c r="E1032" s="19"/>
      <c r="F1032" s="19"/>
      <c r="G1032" s="20"/>
      <c r="H1032" s="3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</row>
    <row r="1033" spans="1:34" ht="15.75" customHeight="1" x14ac:dyDescent="0.25">
      <c r="A1033" s="3"/>
      <c r="B1033" s="3"/>
      <c r="C1033" s="18"/>
      <c r="D1033" s="18"/>
      <c r="E1033" s="19"/>
      <c r="F1033" s="19"/>
      <c r="G1033" s="20"/>
      <c r="H1033" s="3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</row>
    <row r="1034" spans="1:34" ht="15.75" customHeight="1" x14ac:dyDescent="0.25">
      <c r="A1034" s="3"/>
      <c r="B1034" s="3"/>
      <c r="C1034" s="18"/>
      <c r="D1034" s="18"/>
      <c r="E1034" s="19"/>
      <c r="F1034" s="19"/>
      <c r="G1034" s="20"/>
      <c r="H1034" s="3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</row>
    <row r="1035" spans="1:34" ht="15.75" customHeight="1" x14ac:dyDescent="0.25">
      <c r="A1035" s="3"/>
      <c r="B1035" s="3"/>
      <c r="C1035" s="18"/>
      <c r="D1035" s="18"/>
      <c r="E1035" s="19"/>
      <c r="F1035" s="19"/>
      <c r="G1035" s="20"/>
      <c r="H1035" s="3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</row>
    <row r="1036" spans="1:34" ht="15.75" customHeight="1" x14ac:dyDescent="0.25">
      <c r="A1036" s="3"/>
      <c r="B1036" s="3"/>
      <c r="C1036" s="18"/>
      <c r="D1036" s="18"/>
      <c r="E1036" s="19"/>
      <c r="F1036" s="19"/>
      <c r="G1036" s="20"/>
      <c r="H1036" s="3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</row>
    <row r="1037" spans="1:34" ht="15.75" customHeight="1" x14ac:dyDescent="0.25">
      <c r="A1037" s="3"/>
      <c r="B1037" s="3"/>
      <c r="C1037" s="18"/>
      <c r="D1037" s="18"/>
      <c r="E1037" s="19"/>
      <c r="F1037" s="19"/>
      <c r="G1037" s="20"/>
      <c r="H1037" s="3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</row>
    <row r="1038" spans="1:34" ht="15.75" customHeight="1" x14ac:dyDescent="0.25">
      <c r="A1038" s="3"/>
      <c r="B1038" s="3"/>
      <c r="C1038" s="18"/>
      <c r="D1038" s="18"/>
      <c r="E1038" s="19"/>
      <c r="F1038" s="19"/>
      <c r="G1038" s="20"/>
      <c r="H1038" s="3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</row>
    <row r="1039" spans="1:34" ht="15.75" customHeight="1" x14ac:dyDescent="0.25">
      <c r="A1039" s="3"/>
      <c r="B1039" s="3"/>
      <c r="C1039" s="18"/>
      <c r="D1039" s="18"/>
      <c r="E1039" s="19"/>
      <c r="F1039" s="19"/>
      <c r="G1039" s="20"/>
      <c r="H1039" s="3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</row>
    <row r="1040" spans="1:34" ht="15.75" customHeight="1" x14ac:dyDescent="0.25">
      <c r="A1040" s="3"/>
      <c r="B1040" s="3"/>
      <c r="C1040" s="18"/>
      <c r="D1040" s="18"/>
      <c r="E1040" s="19"/>
      <c r="F1040" s="19"/>
      <c r="G1040" s="20"/>
      <c r="H1040" s="3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</row>
    <row r="1041" spans="1:34" ht="15.75" customHeight="1" x14ac:dyDescent="0.25">
      <c r="A1041" s="3"/>
      <c r="B1041" s="3"/>
      <c r="C1041" s="18"/>
      <c r="D1041" s="18"/>
      <c r="E1041" s="19"/>
      <c r="F1041" s="19"/>
      <c r="G1041" s="20"/>
      <c r="H1041" s="3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</row>
    <row r="1042" spans="1:34" ht="15.75" customHeight="1" x14ac:dyDescent="0.25">
      <c r="A1042" s="3"/>
      <c r="B1042" s="3"/>
      <c r="C1042" s="18"/>
      <c r="D1042" s="18"/>
      <c r="E1042" s="19"/>
      <c r="F1042" s="19"/>
      <c r="G1042" s="20"/>
      <c r="H1042" s="3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</row>
    <row r="1043" spans="1:34" ht="15.75" customHeight="1" x14ac:dyDescent="0.25">
      <c r="A1043" s="3"/>
      <c r="B1043" s="3"/>
      <c r="C1043" s="18"/>
      <c r="D1043" s="18"/>
      <c r="E1043" s="19"/>
      <c r="F1043" s="19"/>
      <c r="G1043" s="20"/>
      <c r="H1043" s="3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</row>
    <row r="1044" spans="1:34" ht="15.75" customHeight="1" x14ac:dyDescent="0.25">
      <c r="A1044" s="3"/>
      <c r="B1044" s="3"/>
      <c r="C1044" s="18"/>
      <c r="D1044" s="18"/>
      <c r="E1044" s="19"/>
      <c r="F1044" s="19"/>
      <c r="G1044" s="20"/>
      <c r="H1044" s="3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</row>
    <row r="1045" spans="1:34" ht="15.75" customHeight="1" x14ac:dyDescent="0.25">
      <c r="A1045" s="3"/>
      <c r="B1045" s="3"/>
      <c r="C1045" s="18"/>
      <c r="D1045" s="18"/>
      <c r="E1045" s="19"/>
      <c r="F1045" s="19"/>
      <c r="G1045" s="20"/>
      <c r="H1045" s="3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</row>
    <row r="1046" spans="1:34" ht="15.75" customHeight="1" x14ac:dyDescent="0.25">
      <c r="A1046" s="3"/>
      <c r="B1046" s="3"/>
      <c r="C1046" s="18"/>
      <c r="D1046" s="18"/>
      <c r="E1046" s="19"/>
      <c r="F1046" s="19"/>
      <c r="G1046" s="20"/>
      <c r="H1046" s="3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</row>
    <row r="1047" spans="1:34" ht="15.75" customHeight="1" x14ac:dyDescent="0.25">
      <c r="A1047" s="3"/>
      <c r="B1047" s="3"/>
      <c r="C1047" s="18"/>
      <c r="D1047" s="18"/>
      <c r="E1047" s="19"/>
      <c r="F1047" s="19"/>
      <c r="G1047" s="20"/>
      <c r="H1047" s="3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</row>
    <row r="1048" spans="1:34" ht="15.75" customHeight="1" x14ac:dyDescent="0.25">
      <c r="A1048" s="3"/>
      <c r="B1048" s="3"/>
      <c r="C1048" s="18"/>
      <c r="D1048" s="18"/>
      <c r="E1048" s="19"/>
      <c r="F1048" s="19"/>
      <c r="G1048" s="20"/>
      <c r="H1048" s="3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</row>
    <row r="1049" spans="1:34" ht="15.75" customHeight="1" x14ac:dyDescent="0.25">
      <c r="A1049" s="3"/>
      <c r="B1049" s="3"/>
      <c r="C1049" s="18"/>
      <c r="D1049" s="18"/>
      <c r="E1049" s="19"/>
      <c r="F1049" s="19"/>
      <c r="G1049" s="20"/>
      <c r="H1049" s="3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</row>
    <row r="1050" spans="1:34" ht="15.75" customHeight="1" x14ac:dyDescent="0.25">
      <c r="A1050" s="3"/>
      <c r="B1050" s="3"/>
      <c r="C1050" s="18"/>
      <c r="D1050" s="18"/>
      <c r="E1050" s="19"/>
      <c r="F1050" s="19"/>
      <c r="G1050" s="20"/>
      <c r="H1050" s="3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</row>
    <row r="1051" spans="1:34" ht="15.75" customHeight="1" x14ac:dyDescent="0.25">
      <c r="A1051" s="3"/>
      <c r="B1051" s="3"/>
      <c r="C1051" s="18"/>
      <c r="D1051" s="18"/>
      <c r="E1051" s="19"/>
      <c r="F1051" s="19"/>
      <c r="G1051" s="20"/>
      <c r="H1051" s="3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</row>
    <row r="1052" spans="1:34" ht="15.75" customHeight="1" x14ac:dyDescent="0.25">
      <c r="A1052" s="3"/>
      <c r="B1052" s="3"/>
      <c r="C1052" s="18"/>
      <c r="D1052" s="18"/>
      <c r="E1052" s="19"/>
      <c r="F1052" s="19"/>
      <c r="G1052" s="20"/>
      <c r="H1052" s="3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</row>
    <row r="1053" spans="1:34" ht="15.75" customHeight="1" x14ac:dyDescent="0.25">
      <c r="A1053" s="3"/>
      <c r="B1053" s="3"/>
      <c r="C1053" s="18"/>
      <c r="D1053" s="18"/>
      <c r="E1053" s="19"/>
      <c r="F1053" s="19"/>
      <c r="G1053" s="20"/>
      <c r="H1053" s="3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</row>
    <row r="1054" spans="1:34" ht="15.75" customHeight="1" x14ac:dyDescent="0.25">
      <c r="A1054" s="3"/>
      <c r="B1054" s="3"/>
      <c r="C1054" s="18"/>
      <c r="D1054" s="18"/>
      <c r="E1054" s="19"/>
      <c r="F1054" s="19"/>
      <c r="G1054" s="20"/>
      <c r="H1054" s="3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</row>
    <row r="1055" spans="1:34" ht="15.75" customHeight="1" x14ac:dyDescent="0.25">
      <c r="A1055" s="3"/>
      <c r="B1055" s="3"/>
      <c r="C1055" s="18"/>
      <c r="D1055" s="18"/>
      <c r="E1055" s="19"/>
      <c r="F1055" s="19"/>
      <c r="G1055" s="20"/>
      <c r="H1055" s="3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</row>
    <row r="1056" spans="1:34" ht="15.75" customHeight="1" x14ac:dyDescent="0.25">
      <c r="A1056" s="3"/>
      <c r="B1056" s="3"/>
      <c r="C1056" s="18"/>
      <c r="D1056" s="18"/>
      <c r="E1056" s="19"/>
      <c r="F1056" s="19"/>
      <c r="G1056" s="20"/>
      <c r="H1056" s="3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</row>
    <row r="1057" spans="1:34" ht="15.75" customHeight="1" x14ac:dyDescent="0.25">
      <c r="A1057" s="3"/>
      <c r="B1057" s="3"/>
      <c r="C1057" s="18"/>
      <c r="D1057" s="18"/>
      <c r="E1057" s="19"/>
      <c r="F1057" s="19"/>
      <c r="G1057" s="20"/>
      <c r="H1057" s="3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</row>
    <row r="1058" spans="1:34" ht="15.75" customHeight="1" x14ac:dyDescent="0.25">
      <c r="A1058" s="3"/>
      <c r="B1058" s="3"/>
      <c r="C1058" s="18"/>
      <c r="D1058" s="18"/>
      <c r="E1058" s="19"/>
      <c r="F1058" s="19"/>
      <c r="G1058" s="20"/>
      <c r="H1058" s="3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</row>
    <row r="1059" spans="1:34" ht="15.75" customHeight="1" x14ac:dyDescent="0.25">
      <c r="A1059" s="3"/>
      <c r="B1059" s="3"/>
      <c r="C1059" s="18"/>
      <c r="D1059" s="18"/>
      <c r="E1059" s="19"/>
      <c r="F1059" s="19"/>
      <c r="G1059" s="20"/>
      <c r="H1059" s="3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</row>
    <row r="1060" spans="1:34" ht="15.75" customHeight="1" x14ac:dyDescent="0.25">
      <c r="A1060" s="3"/>
      <c r="B1060" s="3"/>
      <c r="C1060" s="18"/>
      <c r="D1060" s="18"/>
      <c r="E1060" s="19"/>
      <c r="F1060" s="19"/>
      <c r="G1060" s="20"/>
      <c r="H1060" s="3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</row>
    <row r="1061" spans="1:34" ht="15.75" customHeight="1" x14ac:dyDescent="0.25">
      <c r="A1061" s="3"/>
      <c r="B1061" s="3"/>
      <c r="C1061" s="18"/>
      <c r="D1061" s="18"/>
      <c r="E1061" s="19"/>
      <c r="F1061" s="19"/>
      <c r="G1061" s="20"/>
      <c r="H1061" s="3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</row>
    <row r="1062" spans="1:34" ht="15.75" customHeight="1" x14ac:dyDescent="0.25">
      <c r="A1062" s="3"/>
      <c r="B1062" s="3"/>
      <c r="C1062" s="18"/>
      <c r="D1062" s="18"/>
      <c r="E1062" s="19"/>
      <c r="F1062" s="19"/>
      <c r="G1062" s="20"/>
      <c r="H1062" s="3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</row>
    <row r="1063" spans="1:34" ht="15.75" customHeight="1" x14ac:dyDescent="0.25">
      <c r="A1063" s="3"/>
      <c r="B1063" s="3"/>
      <c r="C1063" s="18"/>
      <c r="D1063" s="18"/>
      <c r="E1063" s="19"/>
      <c r="F1063" s="19"/>
      <c r="G1063" s="20"/>
      <c r="H1063" s="3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</row>
    <row r="1064" spans="1:34" ht="15.75" customHeight="1" x14ac:dyDescent="0.25">
      <c r="A1064" s="3"/>
      <c r="B1064" s="3"/>
      <c r="C1064" s="18"/>
      <c r="D1064" s="18"/>
      <c r="E1064" s="19"/>
      <c r="F1064" s="19"/>
      <c r="G1064" s="20"/>
      <c r="H1064" s="3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</row>
    <row r="1065" spans="1:34" ht="15.75" customHeight="1" x14ac:dyDescent="0.25">
      <c r="A1065" s="3"/>
      <c r="B1065" s="3"/>
      <c r="C1065" s="18"/>
      <c r="D1065" s="18"/>
      <c r="E1065" s="19"/>
      <c r="F1065" s="19"/>
      <c r="G1065" s="20"/>
      <c r="H1065" s="3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</row>
    <row r="1066" spans="1:34" ht="15.75" customHeight="1" x14ac:dyDescent="0.25">
      <c r="A1066" s="3"/>
      <c r="B1066" s="3"/>
      <c r="C1066" s="18"/>
      <c r="D1066" s="18"/>
      <c r="E1066" s="19"/>
      <c r="F1066" s="19"/>
      <c r="G1066" s="20"/>
      <c r="H1066" s="3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</row>
    <row r="1067" spans="1:34" ht="15.75" customHeight="1" x14ac:dyDescent="0.25">
      <c r="A1067" s="3"/>
      <c r="B1067" s="3"/>
      <c r="C1067" s="18"/>
      <c r="D1067" s="18"/>
      <c r="E1067" s="19"/>
      <c r="F1067" s="19"/>
      <c r="G1067" s="20"/>
      <c r="H1067" s="3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</row>
    <row r="1068" spans="1:34" ht="15.75" customHeight="1" x14ac:dyDescent="0.25">
      <c r="A1068" s="3"/>
      <c r="B1068" s="3"/>
      <c r="C1068" s="18"/>
      <c r="D1068" s="18"/>
      <c r="E1068" s="19"/>
      <c r="F1068" s="19"/>
      <c r="G1068" s="20"/>
      <c r="H1068" s="3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</row>
    <row r="1069" spans="1:34" ht="15.75" customHeight="1" x14ac:dyDescent="0.25">
      <c r="A1069" s="3"/>
      <c r="B1069" s="3"/>
      <c r="C1069" s="18"/>
      <c r="D1069" s="18"/>
      <c r="E1069" s="19"/>
      <c r="F1069" s="19"/>
      <c r="G1069" s="20"/>
      <c r="H1069" s="3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</row>
    <row r="1070" spans="1:34" ht="15.75" customHeight="1" x14ac:dyDescent="0.25">
      <c r="A1070" s="3"/>
      <c r="B1070" s="3"/>
      <c r="C1070" s="18"/>
      <c r="D1070" s="18"/>
      <c r="E1070" s="19"/>
      <c r="F1070" s="19"/>
      <c r="G1070" s="20"/>
      <c r="H1070" s="3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</row>
    <row r="1071" spans="1:34" ht="15.75" customHeight="1" x14ac:dyDescent="0.25">
      <c r="A1071" s="3"/>
      <c r="B1071" s="3"/>
      <c r="C1071" s="18"/>
      <c r="D1071" s="18"/>
      <c r="E1071" s="19"/>
      <c r="F1071" s="19"/>
      <c r="G1071" s="20"/>
      <c r="H1071" s="3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</row>
    <row r="1072" spans="1:34" ht="15.75" customHeight="1" x14ac:dyDescent="0.25">
      <c r="A1072" s="3"/>
      <c r="B1072" s="3"/>
      <c r="C1072" s="18"/>
      <c r="D1072" s="18"/>
      <c r="E1072" s="19"/>
      <c r="F1072" s="19"/>
      <c r="G1072" s="20"/>
      <c r="H1072" s="3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</row>
    <row r="1073" spans="1:34" ht="15.75" customHeight="1" x14ac:dyDescent="0.25">
      <c r="A1073" s="3"/>
      <c r="B1073" s="3"/>
      <c r="C1073" s="18"/>
      <c r="D1073" s="18"/>
      <c r="E1073" s="19"/>
      <c r="F1073" s="19"/>
      <c r="G1073" s="20"/>
      <c r="H1073" s="3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</row>
    <row r="1074" spans="1:34" ht="15.75" customHeight="1" x14ac:dyDescent="0.25">
      <c r="A1074" s="3"/>
      <c r="B1074" s="3"/>
      <c r="C1074" s="18"/>
      <c r="D1074" s="18"/>
      <c r="E1074" s="19"/>
      <c r="F1074" s="19"/>
      <c r="G1074" s="20"/>
      <c r="H1074" s="3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</row>
    <row r="1075" spans="1:34" ht="15.75" customHeight="1" x14ac:dyDescent="0.25">
      <c r="A1075" s="3"/>
      <c r="B1075" s="3"/>
      <c r="C1075" s="18"/>
      <c r="D1075" s="18"/>
      <c r="E1075" s="19"/>
      <c r="F1075" s="19"/>
      <c r="G1075" s="20"/>
      <c r="H1075" s="3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</row>
    <row r="1076" spans="1:34" ht="15.75" customHeight="1" x14ac:dyDescent="0.25">
      <c r="A1076" s="3"/>
      <c r="B1076" s="3"/>
      <c r="C1076" s="18"/>
      <c r="D1076" s="18"/>
      <c r="E1076" s="19"/>
      <c r="F1076" s="19"/>
      <c r="G1076" s="20"/>
      <c r="H1076" s="3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</row>
    <row r="1077" spans="1:34" ht="15.75" customHeight="1" x14ac:dyDescent="0.25">
      <c r="A1077" s="3"/>
      <c r="B1077" s="3"/>
      <c r="C1077" s="18"/>
      <c r="D1077" s="18"/>
      <c r="E1077" s="19"/>
      <c r="F1077" s="19"/>
      <c r="G1077" s="20"/>
      <c r="H1077" s="3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</row>
    <row r="1078" spans="1:34" ht="15.75" customHeight="1" x14ac:dyDescent="0.25">
      <c r="A1078" s="3"/>
      <c r="B1078" s="3"/>
      <c r="C1078" s="18"/>
      <c r="D1078" s="18"/>
      <c r="E1078" s="19"/>
      <c r="F1078" s="19"/>
      <c r="G1078" s="20"/>
      <c r="H1078" s="3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</row>
    <row r="1079" spans="1:34" ht="15.75" customHeight="1" x14ac:dyDescent="0.25">
      <c r="A1079" s="3"/>
      <c r="B1079" s="3"/>
      <c r="C1079" s="18"/>
      <c r="D1079" s="18"/>
      <c r="E1079" s="19"/>
      <c r="F1079" s="19"/>
      <c r="G1079" s="20"/>
      <c r="H1079" s="3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</row>
    <row r="1080" spans="1:34" ht="15.75" customHeight="1" x14ac:dyDescent="0.25">
      <c r="A1080" s="3"/>
      <c r="B1080" s="3"/>
      <c r="C1080" s="18"/>
      <c r="D1080" s="18"/>
      <c r="E1080" s="19"/>
      <c r="F1080" s="19"/>
      <c r="G1080" s="20"/>
      <c r="H1080" s="3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</row>
    <row r="1081" spans="1:34" ht="15.75" customHeight="1" x14ac:dyDescent="0.25">
      <c r="A1081" s="3"/>
      <c r="B1081" s="3"/>
      <c r="C1081" s="18"/>
      <c r="D1081" s="18"/>
      <c r="E1081" s="19"/>
      <c r="F1081" s="19"/>
      <c r="G1081" s="20"/>
      <c r="H1081" s="3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</row>
    <row r="1082" spans="1:34" ht="15.75" customHeight="1" x14ac:dyDescent="0.25">
      <c r="A1082" s="3"/>
      <c r="B1082" s="3"/>
      <c r="C1082" s="18"/>
      <c r="D1082" s="18"/>
      <c r="E1082" s="19"/>
      <c r="F1082" s="19"/>
      <c r="G1082" s="20"/>
      <c r="H1082" s="3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</row>
    <row r="1083" spans="1:34" ht="15.75" customHeight="1" x14ac:dyDescent="0.25">
      <c r="A1083" s="3"/>
      <c r="B1083" s="3"/>
      <c r="C1083" s="18"/>
      <c r="D1083" s="18"/>
      <c r="E1083" s="19"/>
      <c r="F1083" s="19"/>
      <c r="G1083" s="20"/>
      <c r="H1083" s="3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</row>
    <row r="1084" spans="1:34" ht="15.75" customHeight="1" x14ac:dyDescent="0.25">
      <c r="A1084" s="3"/>
      <c r="B1084" s="3"/>
      <c r="C1084" s="18"/>
      <c r="D1084" s="18"/>
      <c r="E1084" s="19"/>
      <c r="F1084" s="19"/>
      <c r="G1084" s="20"/>
      <c r="H1084" s="3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</row>
    <row r="1085" spans="1:34" ht="15.75" customHeight="1" x14ac:dyDescent="0.25">
      <c r="A1085" s="3"/>
      <c r="B1085" s="3"/>
      <c r="C1085" s="18"/>
      <c r="D1085" s="18"/>
      <c r="E1085" s="19"/>
      <c r="F1085" s="19"/>
      <c r="G1085" s="20"/>
      <c r="H1085" s="3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</row>
    <row r="1086" spans="1:34" ht="15.75" customHeight="1" x14ac:dyDescent="0.25">
      <c r="A1086" s="3"/>
      <c r="B1086" s="3"/>
      <c r="C1086" s="18"/>
      <c r="D1086" s="18"/>
      <c r="E1086" s="19"/>
      <c r="F1086" s="19"/>
      <c r="G1086" s="20"/>
      <c r="H1086" s="3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</row>
    <row r="1087" spans="1:34" ht="15.75" customHeight="1" x14ac:dyDescent="0.25">
      <c r="A1087" s="3"/>
      <c r="B1087" s="3"/>
      <c r="C1087" s="18"/>
      <c r="D1087" s="18"/>
      <c r="E1087" s="19"/>
      <c r="F1087" s="19"/>
      <c r="G1087" s="20"/>
      <c r="H1087" s="3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</row>
    <row r="1088" spans="1:34" ht="15.75" customHeight="1" x14ac:dyDescent="0.25">
      <c r="A1088" s="3"/>
      <c r="B1088" s="3"/>
      <c r="C1088" s="18"/>
      <c r="D1088" s="18"/>
      <c r="E1088" s="19"/>
      <c r="F1088" s="19"/>
      <c r="G1088" s="20"/>
      <c r="H1088" s="3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</row>
    <row r="1089" spans="1:34" ht="15.75" customHeight="1" x14ac:dyDescent="0.25">
      <c r="A1089" s="3"/>
      <c r="B1089" s="3"/>
      <c r="C1089" s="18"/>
      <c r="D1089" s="18"/>
      <c r="E1089" s="19"/>
      <c r="F1089" s="19"/>
      <c r="G1089" s="20"/>
      <c r="H1089" s="3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</row>
    <row r="1090" spans="1:34" ht="15.75" customHeight="1" x14ac:dyDescent="0.25">
      <c r="A1090" s="3"/>
      <c r="B1090" s="3"/>
      <c r="C1090" s="18"/>
      <c r="D1090" s="18"/>
      <c r="E1090" s="19"/>
      <c r="F1090" s="19"/>
      <c r="G1090" s="20"/>
      <c r="H1090" s="3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</row>
    <row r="1091" spans="1:34" ht="15.75" customHeight="1" x14ac:dyDescent="0.25">
      <c r="A1091" s="3"/>
      <c r="B1091" s="3"/>
      <c r="C1091" s="18"/>
      <c r="D1091" s="18"/>
      <c r="E1091" s="19"/>
      <c r="F1091" s="19"/>
      <c r="G1091" s="20"/>
      <c r="H1091" s="3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</row>
    <row r="1092" spans="1:34" ht="15.75" customHeight="1" x14ac:dyDescent="0.25">
      <c r="A1092" s="3"/>
      <c r="B1092" s="3"/>
      <c r="C1092" s="18"/>
      <c r="D1092" s="18"/>
      <c r="E1092" s="19"/>
      <c r="F1092" s="19"/>
      <c r="G1092" s="20"/>
      <c r="H1092" s="3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</row>
    <row r="1093" spans="1:34" ht="15.75" customHeight="1" x14ac:dyDescent="0.25">
      <c r="A1093" s="3"/>
      <c r="B1093" s="3"/>
      <c r="C1093" s="18"/>
      <c r="D1093" s="18"/>
      <c r="E1093" s="19"/>
      <c r="F1093" s="19"/>
      <c r="G1093" s="20"/>
      <c r="H1093" s="3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</row>
    <row r="1094" spans="1:34" ht="15.75" customHeight="1" x14ac:dyDescent="0.25">
      <c r="A1094" s="3"/>
      <c r="B1094" s="3"/>
      <c r="C1094" s="18"/>
      <c r="D1094" s="18"/>
      <c r="E1094" s="19"/>
      <c r="F1094" s="19"/>
      <c r="G1094" s="20"/>
      <c r="H1094" s="3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</row>
    <row r="1095" spans="1:34" ht="15.75" customHeight="1" x14ac:dyDescent="0.25">
      <c r="A1095" s="3"/>
      <c r="B1095" s="3"/>
      <c r="C1095" s="18"/>
      <c r="D1095" s="18"/>
      <c r="E1095" s="19"/>
      <c r="F1095" s="19"/>
      <c r="G1095" s="20"/>
      <c r="H1095" s="3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</row>
    <row r="1096" spans="1:34" ht="15.75" customHeight="1" x14ac:dyDescent="0.25">
      <c r="A1096" s="3"/>
      <c r="B1096" s="3"/>
      <c r="C1096" s="18"/>
      <c r="D1096" s="18"/>
      <c r="E1096" s="19"/>
      <c r="F1096" s="19"/>
      <c r="G1096" s="20"/>
      <c r="H1096" s="3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</row>
    <row r="1097" spans="1:34" ht="15.75" customHeight="1" x14ac:dyDescent="0.25">
      <c r="A1097" s="3"/>
      <c r="B1097" s="3"/>
      <c r="C1097" s="18"/>
      <c r="D1097" s="18"/>
      <c r="E1097" s="19"/>
      <c r="F1097" s="19"/>
      <c r="G1097" s="20"/>
      <c r="H1097" s="3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</row>
    <row r="1098" spans="1:34" ht="15.75" customHeight="1" x14ac:dyDescent="0.25">
      <c r="A1098" s="3"/>
      <c r="B1098" s="3"/>
      <c r="C1098" s="18"/>
      <c r="D1098" s="18"/>
      <c r="E1098" s="19"/>
      <c r="F1098" s="19"/>
      <c r="G1098" s="20"/>
      <c r="H1098" s="3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</row>
    <row r="1099" spans="1:34" ht="15.75" customHeight="1" x14ac:dyDescent="0.25">
      <c r="A1099" s="3"/>
      <c r="B1099" s="3"/>
      <c r="C1099" s="18"/>
      <c r="D1099" s="18"/>
      <c r="E1099" s="19"/>
      <c r="F1099" s="19"/>
      <c r="G1099" s="20"/>
      <c r="H1099" s="3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</row>
    <row r="1100" spans="1:34" ht="15.75" customHeight="1" x14ac:dyDescent="0.25">
      <c r="A1100" s="3"/>
      <c r="B1100" s="3"/>
      <c r="C1100" s="18"/>
      <c r="D1100" s="18"/>
      <c r="E1100" s="19"/>
      <c r="F1100" s="19"/>
      <c r="G1100" s="20"/>
      <c r="H1100" s="3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</row>
    <row r="1101" spans="1:34" ht="15.75" customHeight="1" x14ac:dyDescent="0.25">
      <c r="A1101" s="3"/>
      <c r="B1101" s="3"/>
      <c r="C1101" s="18"/>
      <c r="D1101" s="18"/>
      <c r="E1101" s="19"/>
      <c r="F1101" s="19"/>
      <c r="G1101" s="20"/>
      <c r="H1101" s="3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</row>
    <row r="1102" spans="1:34" ht="15.75" customHeight="1" x14ac:dyDescent="0.25">
      <c r="A1102" s="3"/>
      <c r="B1102" s="3"/>
      <c r="C1102" s="18"/>
      <c r="D1102" s="18"/>
      <c r="E1102" s="19"/>
      <c r="F1102" s="19"/>
      <c r="G1102" s="20"/>
      <c r="H1102" s="3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</row>
    <row r="1103" spans="1:34" ht="15.75" customHeight="1" x14ac:dyDescent="0.25">
      <c r="A1103" s="3"/>
      <c r="B1103" s="3"/>
      <c r="C1103" s="18"/>
      <c r="D1103" s="18"/>
      <c r="E1103" s="19"/>
      <c r="F1103" s="19"/>
      <c r="G1103" s="20"/>
      <c r="H1103" s="3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</row>
    <row r="1104" spans="1:34" ht="15.75" customHeight="1" x14ac:dyDescent="0.25">
      <c r="A1104" s="3"/>
      <c r="B1104" s="3"/>
      <c r="C1104" s="18"/>
      <c r="D1104" s="18"/>
      <c r="E1104" s="19"/>
      <c r="F1104" s="19"/>
      <c r="G1104" s="20"/>
      <c r="H1104" s="3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</row>
    <row r="1105" spans="1:34" ht="15.75" customHeight="1" x14ac:dyDescent="0.25">
      <c r="A1105" s="3"/>
      <c r="B1105" s="3"/>
      <c r="C1105" s="18"/>
      <c r="D1105" s="18"/>
      <c r="E1105" s="19"/>
      <c r="F1105" s="19"/>
      <c r="G1105" s="20"/>
      <c r="H1105" s="3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</row>
    <row r="1106" spans="1:34" ht="15.75" customHeight="1" x14ac:dyDescent="0.25">
      <c r="A1106" s="3"/>
      <c r="B1106" s="3"/>
      <c r="C1106" s="18"/>
      <c r="D1106" s="18"/>
      <c r="E1106" s="19"/>
      <c r="F1106" s="19"/>
      <c r="G1106" s="20"/>
      <c r="H1106" s="3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</row>
    <row r="1107" spans="1:34" ht="15.75" customHeight="1" x14ac:dyDescent="0.25">
      <c r="A1107" s="3"/>
      <c r="B1107" s="3"/>
      <c r="C1107" s="18"/>
      <c r="D1107" s="18"/>
      <c r="E1107" s="19"/>
      <c r="F1107" s="19"/>
      <c r="G1107" s="20"/>
      <c r="H1107" s="3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</row>
    <row r="1108" spans="1:34" ht="15.75" customHeight="1" x14ac:dyDescent="0.25">
      <c r="A1108" s="3"/>
      <c r="B1108" s="3"/>
      <c r="C1108" s="18"/>
      <c r="D1108" s="18"/>
      <c r="E1108" s="19"/>
      <c r="F1108" s="19"/>
      <c r="G1108" s="20"/>
      <c r="H1108" s="3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</row>
    <row r="1109" spans="1:34" ht="15.75" customHeight="1" x14ac:dyDescent="0.25">
      <c r="A1109" s="3"/>
      <c r="B1109" s="3"/>
      <c r="C1109" s="18"/>
      <c r="D1109" s="18"/>
      <c r="E1109" s="19"/>
      <c r="F1109" s="19"/>
      <c r="G1109" s="20"/>
      <c r="H1109" s="3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</row>
    <row r="1110" spans="1:34" ht="15.75" customHeight="1" x14ac:dyDescent="0.25">
      <c r="A1110" s="3"/>
      <c r="B1110" s="3"/>
      <c r="C1110" s="18"/>
      <c r="D1110" s="18"/>
      <c r="E1110" s="19"/>
      <c r="F1110" s="19"/>
      <c r="G1110" s="20"/>
      <c r="H1110" s="3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</row>
    <row r="1111" spans="1:34" ht="15.75" customHeight="1" x14ac:dyDescent="0.25">
      <c r="A1111" s="3"/>
      <c r="B1111" s="3"/>
      <c r="C1111" s="18"/>
      <c r="D1111" s="18"/>
      <c r="E1111" s="19"/>
      <c r="F1111" s="19"/>
      <c r="G1111" s="20"/>
      <c r="H1111" s="3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</row>
    <row r="1112" spans="1:34" ht="15.75" customHeight="1" x14ac:dyDescent="0.25">
      <c r="A1112" s="3"/>
      <c r="B1112" s="3"/>
      <c r="C1112" s="18"/>
      <c r="D1112" s="18"/>
      <c r="E1112" s="19"/>
      <c r="F1112" s="19"/>
      <c r="G1112" s="20"/>
      <c r="H1112" s="3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</row>
    <row r="1113" spans="1:34" ht="15.75" customHeight="1" x14ac:dyDescent="0.25">
      <c r="A1113" s="3"/>
      <c r="B1113" s="3"/>
      <c r="C1113" s="18"/>
      <c r="D1113" s="18"/>
      <c r="E1113" s="19"/>
      <c r="F1113" s="19"/>
      <c r="G1113" s="20"/>
      <c r="H1113" s="3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</row>
    <row r="1114" spans="1:34" ht="15.75" customHeight="1" x14ac:dyDescent="0.25">
      <c r="A1114" s="3"/>
      <c r="B1114" s="3"/>
      <c r="C1114" s="18"/>
      <c r="D1114" s="18"/>
      <c r="E1114" s="19"/>
      <c r="F1114" s="19"/>
      <c r="G1114" s="20"/>
      <c r="H1114" s="3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</row>
    <row r="1115" spans="1:34" ht="15.75" customHeight="1" x14ac:dyDescent="0.25">
      <c r="A1115" s="3"/>
      <c r="B1115" s="3"/>
      <c r="C1115" s="18"/>
      <c r="D1115" s="18"/>
      <c r="E1115" s="19"/>
      <c r="F1115" s="19"/>
      <c r="G1115" s="20"/>
      <c r="H1115" s="3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</row>
    <row r="1116" spans="1:34" ht="15.75" customHeight="1" x14ac:dyDescent="0.25">
      <c r="A1116" s="3"/>
      <c r="B1116" s="3"/>
      <c r="C1116" s="18"/>
      <c r="D1116" s="18"/>
      <c r="E1116" s="19"/>
      <c r="F1116" s="19"/>
      <c r="G1116" s="20"/>
      <c r="H1116" s="3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</row>
    <row r="1117" spans="1:34" ht="15.75" customHeight="1" x14ac:dyDescent="0.25">
      <c r="A1117" s="3"/>
      <c r="B1117" s="3"/>
      <c r="C1117" s="18"/>
      <c r="D1117" s="18"/>
      <c r="E1117" s="19"/>
      <c r="F1117" s="19"/>
      <c r="G1117" s="20"/>
      <c r="H1117" s="3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</row>
    <row r="1118" spans="1:34" ht="15.75" customHeight="1" x14ac:dyDescent="0.25">
      <c r="A1118" s="3"/>
      <c r="B1118" s="3"/>
      <c r="C1118" s="18"/>
      <c r="D1118" s="18"/>
      <c r="E1118" s="19"/>
      <c r="F1118" s="19"/>
      <c r="G1118" s="20"/>
      <c r="H1118" s="3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</row>
    <row r="1119" spans="1:34" ht="15.75" customHeight="1" x14ac:dyDescent="0.25">
      <c r="A1119" s="3"/>
      <c r="B1119" s="3"/>
      <c r="C1119" s="18"/>
      <c r="D1119" s="18"/>
      <c r="E1119" s="19"/>
      <c r="F1119" s="19"/>
      <c r="G1119" s="20"/>
      <c r="H1119" s="3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</row>
    <row r="1120" spans="1:34" ht="15.75" customHeight="1" x14ac:dyDescent="0.25">
      <c r="A1120" s="3"/>
      <c r="B1120" s="3"/>
      <c r="C1120" s="18"/>
      <c r="D1120" s="18"/>
      <c r="E1120" s="19"/>
      <c r="F1120" s="19"/>
      <c r="G1120" s="20"/>
      <c r="H1120" s="3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</row>
    <row r="1121" spans="1:34" ht="15.75" customHeight="1" x14ac:dyDescent="0.25">
      <c r="A1121" s="3"/>
      <c r="B1121" s="3"/>
      <c r="C1121" s="18"/>
      <c r="D1121" s="18"/>
      <c r="E1121" s="19"/>
      <c r="F1121" s="19"/>
      <c r="G1121" s="20"/>
      <c r="H1121" s="3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</row>
    <row r="1122" spans="1:34" ht="15.75" customHeight="1" x14ac:dyDescent="0.25">
      <c r="A1122" s="3"/>
      <c r="B1122" s="3"/>
      <c r="C1122" s="18"/>
      <c r="D1122" s="18"/>
      <c r="E1122" s="19"/>
      <c r="F1122" s="19"/>
      <c r="G1122" s="20"/>
      <c r="H1122" s="3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</row>
    <row r="1123" spans="1:34" ht="15.75" customHeight="1" x14ac:dyDescent="0.25">
      <c r="A1123" s="3"/>
      <c r="B1123" s="3"/>
      <c r="C1123" s="18"/>
      <c r="D1123" s="18"/>
      <c r="E1123" s="19"/>
      <c r="F1123" s="19"/>
      <c r="G1123" s="20"/>
      <c r="H1123" s="3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</row>
    <row r="1124" spans="1:34" ht="15.75" customHeight="1" x14ac:dyDescent="0.25">
      <c r="A1124" s="3"/>
      <c r="B1124" s="3"/>
      <c r="C1124" s="18"/>
      <c r="D1124" s="18"/>
      <c r="E1124" s="19"/>
      <c r="F1124" s="19"/>
      <c r="G1124" s="20"/>
      <c r="H1124" s="3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</row>
    <row r="1125" spans="1:34" ht="15.75" customHeight="1" x14ac:dyDescent="0.25">
      <c r="A1125" s="3"/>
      <c r="B1125" s="3"/>
      <c r="C1125" s="18"/>
      <c r="D1125" s="18"/>
      <c r="E1125" s="19"/>
      <c r="F1125" s="19"/>
      <c r="G1125" s="20"/>
      <c r="H1125" s="3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</row>
    <row r="1126" spans="1:34" ht="15.75" customHeight="1" x14ac:dyDescent="0.25">
      <c r="A1126" s="3"/>
      <c r="B1126" s="3"/>
      <c r="C1126" s="18"/>
      <c r="D1126" s="18"/>
      <c r="E1126" s="19"/>
      <c r="F1126" s="19"/>
      <c r="G1126" s="20"/>
      <c r="H1126" s="3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</row>
    <row r="1127" spans="1:34" ht="15.75" customHeight="1" x14ac:dyDescent="0.25">
      <c r="A1127" s="3"/>
      <c r="B1127" s="3"/>
      <c r="C1127" s="18"/>
      <c r="D1127" s="18"/>
      <c r="E1127" s="19"/>
      <c r="F1127" s="19"/>
      <c r="G1127" s="20"/>
      <c r="H1127" s="3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</row>
    <row r="1128" spans="1:34" ht="15.75" customHeight="1" x14ac:dyDescent="0.25">
      <c r="A1128" s="3"/>
      <c r="B1128" s="3"/>
      <c r="C1128" s="18"/>
      <c r="D1128" s="18"/>
      <c r="E1128" s="19"/>
      <c r="F1128" s="19"/>
      <c r="G1128" s="20"/>
      <c r="H1128" s="3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</row>
    <row r="1129" spans="1:34" ht="15.75" customHeight="1" x14ac:dyDescent="0.25">
      <c r="A1129" s="3"/>
      <c r="B1129" s="3"/>
      <c r="C1129" s="18"/>
      <c r="D1129" s="18"/>
      <c r="E1129" s="19"/>
      <c r="F1129" s="19"/>
      <c r="G1129" s="20"/>
      <c r="H1129" s="3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</row>
    <row r="1130" spans="1:34" ht="15.75" customHeight="1" x14ac:dyDescent="0.25">
      <c r="A1130" s="3"/>
      <c r="B1130" s="3"/>
      <c r="C1130" s="18"/>
      <c r="D1130" s="18"/>
      <c r="E1130" s="19"/>
      <c r="F1130" s="19"/>
      <c r="G1130" s="20"/>
      <c r="H1130" s="3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</row>
    <row r="1131" spans="1:34" ht="15.75" customHeight="1" x14ac:dyDescent="0.25">
      <c r="A1131" s="3"/>
      <c r="B1131" s="3"/>
      <c r="C1131" s="18"/>
      <c r="D1131" s="18"/>
      <c r="E1131" s="19"/>
      <c r="F1131" s="19"/>
      <c r="G1131" s="20"/>
      <c r="H1131" s="3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</row>
    <row r="1132" spans="1:34" ht="15.75" customHeight="1" x14ac:dyDescent="0.25">
      <c r="A1132" s="3"/>
      <c r="B1132" s="3"/>
      <c r="C1132" s="18"/>
      <c r="D1132" s="18"/>
      <c r="E1132" s="19"/>
      <c r="F1132" s="19"/>
      <c r="G1132" s="20"/>
      <c r="H1132" s="3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</row>
    <row r="1133" spans="1:34" ht="15.75" customHeight="1" x14ac:dyDescent="0.25">
      <c r="A1133" s="3"/>
      <c r="B1133" s="3"/>
      <c r="C1133" s="18"/>
      <c r="D1133" s="18"/>
      <c r="E1133" s="19"/>
      <c r="F1133" s="19"/>
      <c r="G1133" s="20"/>
      <c r="H1133" s="3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</row>
    <row r="1134" spans="1:34" ht="15.75" customHeight="1" x14ac:dyDescent="0.25">
      <c r="A1134" s="3"/>
      <c r="B1134" s="3"/>
      <c r="C1134" s="18"/>
      <c r="D1134" s="18"/>
      <c r="E1134" s="19"/>
      <c r="F1134" s="19"/>
      <c r="G1134" s="20"/>
      <c r="H1134" s="3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</row>
    <row r="1135" spans="1:34" ht="15.75" customHeight="1" x14ac:dyDescent="0.25">
      <c r="A1135" s="3"/>
      <c r="B1135" s="3"/>
      <c r="C1135" s="18"/>
      <c r="D1135" s="18"/>
      <c r="E1135" s="19"/>
      <c r="F1135" s="19"/>
      <c r="G1135" s="20"/>
      <c r="H1135" s="3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</row>
    <row r="1136" spans="1:34" ht="15.75" customHeight="1" x14ac:dyDescent="0.25">
      <c r="A1136" s="3"/>
      <c r="B1136" s="3"/>
      <c r="C1136" s="18"/>
      <c r="D1136" s="18"/>
      <c r="E1136" s="19"/>
      <c r="F1136" s="19"/>
      <c r="G1136" s="20"/>
      <c r="H1136" s="3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</row>
    <row r="1137" spans="1:34" ht="15.75" customHeight="1" x14ac:dyDescent="0.25">
      <c r="A1137" s="3"/>
      <c r="B1137" s="3"/>
      <c r="C1137" s="18"/>
      <c r="D1137" s="18"/>
      <c r="E1137" s="19"/>
      <c r="F1137" s="19"/>
      <c r="G1137" s="20"/>
      <c r="H1137" s="3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</row>
    <row r="1138" spans="1:34" ht="15.75" customHeight="1" x14ac:dyDescent="0.25">
      <c r="A1138" s="3"/>
      <c r="B1138" s="3"/>
      <c r="C1138" s="18"/>
      <c r="D1138" s="18"/>
      <c r="E1138" s="19"/>
      <c r="F1138" s="19"/>
      <c r="G1138" s="20"/>
      <c r="H1138" s="3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</row>
    <row r="1139" spans="1:34" ht="15.75" customHeight="1" x14ac:dyDescent="0.25">
      <c r="A1139" s="3"/>
      <c r="B1139" s="3"/>
      <c r="C1139" s="18"/>
      <c r="D1139" s="18"/>
      <c r="E1139" s="19"/>
      <c r="F1139" s="19"/>
      <c r="G1139" s="20"/>
      <c r="H1139" s="3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</row>
    <row r="1140" spans="1:34" ht="15.75" customHeight="1" x14ac:dyDescent="0.25">
      <c r="A1140" s="3"/>
      <c r="B1140" s="3"/>
      <c r="C1140" s="18"/>
      <c r="D1140" s="18"/>
      <c r="E1140" s="19"/>
      <c r="F1140" s="19"/>
      <c r="G1140" s="20"/>
      <c r="H1140" s="3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</row>
    <row r="1141" spans="1:34" ht="15.75" customHeight="1" x14ac:dyDescent="0.25">
      <c r="A1141" s="3"/>
      <c r="B1141" s="3"/>
      <c r="C1141" s="18"/>
      <c r="D1141" s="18"/>
      <c r="E1141" s="19"/>
      <c r="F1141" s="19"/>
      <c r="G1141" s="20"/>
      <c r="H1141" s="3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</row>
    <row r="1142" spans="1:34" ht="15.75" customHeight="1" x14ac:dyDescent="0.25">
      <c r="A1142" s="3"/>
      <c r="B1142" s="3"/>
      <c r="C1142" s="18"/>
      <c r="D1142" s="18"/>
      <c r="E1142" s="19"/>
      <c r="F1142" s="19"/>
      <c r="G1142" s="20"/>
      <c r="H1142" s="3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</row>
    <row r="1143" spans="1:34" ht="15.75" customHeight="1" x14ac:dyDescent="0.25">
      <c r="A1143" s="3"/>
      <c r="B1143" s="3"/>
      <c r="C1143" s="18"/>
      <c r="D1143" s="18"/>
      <c r="E1143" s="19"/>
      <c r="F1143" s="19"/>
      <c r="G1143" s="20"/>
      <c r="H1143" s="3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</row>
    <row r="1144" spans="1:34" ht="15.75" customHeight="1" x14ac:dyDescent="0.25">
      <c r="A1144" s="3"/>
      <c r="B1144" s="3"/>
      <c r="C1144" s="18"/>
      <c r="D1144" s="18"/>
      <c r="E1144" s="19"/>
      <c r="F1144" s="19"/>
      <c r="G1144" s="20"/>
      <c r="H1144" s="3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</row>
    <row r="1145" spans="1:34" ht="15.75" customHeight="1" x14ac:dyDescent="0.25">
      <c r="A1145" s="3"/>
      <c r="B1145" s="3"/>
      <c r="C1145" s="18"/>
      <c r="D1145" s="18"/>
      <c r="E1145" s="19"/>
      <c r="F1145" s="19"/>
      <c r="G1145" s="20"/>
      <c r="H1145" s="3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</row>
    <row r="1146" spans="1:34" ht="15.75" customHeight="1" x14ac:dyDescent="0.25">
      <c r="A1146" s="3"/>
      <c r="B1146" s="3"/>
      <c r="C1146" s="18"/>
      <c r="D1146" s="18"/>
      <c r="E1146" s="19"/>
      <c r="F1146" s="19"/>
      <c r="G1146" s="20"/>
      <c r="H1146" s="3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</row>
    <row r="1147" spans="1:34" ht="15.75" customHeight="1" x14ac:dyDescent="0.25">
      <c r="A1147" s="3"/>
      <c r="B1147" s="3"/>
      <c r="C1147" s="18"/>
      <c r="D1147" s="18"/>
      <c r="E1147" s="19"/>
      <c r="F1147" s="19"/>
      <c r="G1147" s="20"/>
      <c r="H1147" s="3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</row>
    <row r="1148" spans="1:34" ht="15.75" customHeight="1" x14ac:dyDescent="0.25">
      <c r="A1148" s="3"/>
      <c r="B1148" s="3"/>
      <c r="C1148" s="18"/>
      <c r="D1148" s="18"/>
      <c r="E1148" s="19"/>
      <c r="F1148" s="19"/>
      <c r="G1148" s="20"/>
      <c r="H1148" s="3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</row>
    <row r="1149" spans="1:34" ht="15.75" customHeight="1" x14ac:dyDescent="0.25">
      <c r="A1149" s="3"/>
      <c r="B1149" s="3"/>
      <c r="C1149" s="18"/>
      <c r="D1149" s="18"/>
      <c r="E1149" s="19"/>
      <c r="F1149" s="19"/>
      <c r="G1149" s="20"/>
      <c r="H1149" s="3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</row>
    <row r="1150" spans="1:34" ht="15.75" customHeight="1" x14ac:dyDescent="0.25">
      <c r="A1150" s="3"/>
      <c r="B1150" s="3"/>
      <c r="C1150" s="18"/>
      <c r="D1150" s="18"/>
      <c r="E1150" s="19"/>
      <c r="F1150" s="19"/>
      <c r="G1150" s="20"/>
      <c r="H1150" s="3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</row>
    <row r="1151" spans="1:34" ht="15.75" customHeight="1" x14ac:dyDescent="0.25">
      <c r="A1151" s="3"/>
      <c r="B1151" s="3"/>
      <c r="C1151" s="18"/>
      <c r="D1151" s="18"/>
      <c r="E1151" s="19"/>
      <c r="F1151" s="19"/>
      <c r="G1151" s="20"/>
      <c r="H1151" s="3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</row>
    <row r="1152" spans="1:34" ht="15.75" customHeight="1" x14ac:dyDescent="0.25">
      <c r="A1152" s="3"/>
      <c r="B1152" s="3"/>
      <c r="C1152" s="18"/>
      <c r="D1152" s="18"/>
      <c r="E1152" s="19"/>
      <c r="F1152" s="19"/>
      <c r="G1152" s="20"/>
      <c r="H1152" s="3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</row>
    <row r="1153" spans="1:34" ht="15.75" customHeight="1" x14ac:dyDescent="0.25">
      <c r="A1153" s="3"/>
      <c r="B1153" s="3"/>
      <c r="C1153" s="18"/>
      <c r="D1153" s="18"/>
      <c r="E1153" s="19"/>
      <c r="F1153" s="19"/>
      <c r="G1153" s="20"/>
      <c r="H1153" s="3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</row>
    <row r="1154" spans="1:34" ht="15.75" customHeight="1" x14ac:dyDescent="0.25">
      <c r="A1154" s="3"/>
      <c r="B1154" s="3"/>
      <c r="C1154" s="18"/>
      <c r="D1154" s="18"/>
      <c r="E1154" s="19"/>
      <c r="F1154" s="19"/>
      <c r="G1154" s="20"/>
      <c r="H1154" s="3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</row>
    <row r="1155" spans="1:34" ht="15.75" customHeight="1" x14ac:dyDescent="0.25">
      <c r="A1155" s="3"/>
      <c r="B1155" s="3"/>
      <c r="C1155" s="18"/>
      <c r="D1155" s="18"/>
      <c r="E1155" s="19"/>
      <c r="F1155" s="19"/>
      <c r="G1155" s="20"/>
      <c r="H1155" s="3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</row>
    <row r="1156" spans="1:34" ht="15.75" customHeight="1" x14ac:dyDescent="0.25">
      <c r="A1156" s="3"/>
      <c r="B1156" s="3"/>
      <c r="C1156" s="18"/>
      <c r="D1156" s="18"/>
      <c r="E1156" s="19"/>
      <c r="F1156" s="19"/>
      <c r="G1156" s="20"/>
      <c r="H1156" s="3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</row>
    <row r="1157" spans="1:34" ht="15.75" customHeight="1" x14ac:dyDescent="0.25">
      <c r="A1157" s="3"/>
      <c r="B1157" s="3"/>
      <c r="C1157" s="18"/>
      <c r="D1157" s="18"/>
      <c r="E1157" s="19"/>
      <c r="F1157" s="19"/>
      <c r="G1157" s="20"/>
      <c r="H1157" s="3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</row>
    <row r="1158" spans="1:34" ht="15.75" customHeight="1" x14ac:dyDescent="0.25">
      <c r="A1158" s="3"/>
      <c r="B1158" s="3"/>
      <c r="C1158" s="18"/>
      <c r="D1158" s="18"/>
      <c r="E1158" s="19"/>
      <c r="F1158" s="19"/>
      <c r="G1158" s="20"/>
      <c r="H1158" s="3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</row>
    <row r="1159" spans="1:34" ht="15.75" customHeight="1" x14ac:dyDescent="0.25">
      <c r="A1159" s="3"/>
      <c r="B1159" s="3"/>
      <c r="C1159" s="18"/>
      <c r="D1159" s="18"/>
      <c r="E1159" s="19"/>
      <c r="F1159" s="19"/>
      <c r="G1159" s="20"/>
      <c r="H1159" s="3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</row>
    <row r="1160" spans="1:34" ht="15.75" customHeight="1" x14ac:dyDescent="0.25">
      <c r="A1160" s="3"/>
      <c r="B1160" s="3"/>
      <c r="C1160" s="18"/>
      <c r="D1160" s="18"/>
      <c r="E1160" s="19"/>
      <c r="F1160" s="19"/>
      <c r="G1160" s="20"/>
      <c r="H1160" s="3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</row>
    <row r="1161" spans="1:34" ht="15.75" customHeight="1" x14ac:dyDescent="0.25">
      <c r="A1161" s="3"/>
      <c r="B1161" s="3"/>
      <c r="C1161" s="18"/>
      <c r="D1161" s="18"/>
      <c r="E1161" s="19"/>
      <c r="F1161" s="19"/>
      <c r="G1161" s="20"/>
      <c r="H1161" s="3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</row>
    <row r="1162" spans="1:34" ht="15.75" customHeight="1" x14ac:dyDescent="0.25">
      <c r="A1162" s="3"/>
      <c r="B1162" s="3"/>
      <c r="C1162" s="18"/>
      <c r="D1162" s="18"/>
      <c r="E1162" s="19"/>
      <c r="F1162" s="19"/>
      <c r="G1162" s="20"/>
      <c r="H1162" s="3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</row>
    <row r="1163" spans="1:34" ht="15.75" customHeight="1" x14ac:dyDescent="0.25">
      <c r="A1163" s="3"/>
      <c r="B1163" s="3"/>
      <c r="C1163" s="18"/>
      <c r="D1163" s="18"/>
      <c r="E1163" s="19"/>
      <c r="F1163" s="19"/>
      <c r="G1163" s="20"/>
      <c r="H1163" s="3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</row>
    <row r="1164" spans="1:34" ht="15.75" customHeight="1" x14ac:dyDescent="0.25">
      <c r="A1164" s="3"/>
      <c r="B1164" s="3"/>
      <c r="C1164" s="18"/>
      <c r="D1164" s="18"/>
      <c r="E1164" s="19"/>
      <c r="F1164" s="19"/>
      <c r="G1164" s="20"/>
      <c r="H1164" s="3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</row>
    <row r="1165" spans="1:34" ht="15.75" customHeight="1" x14ac:dyDescent="0.25">
      <c r="A1165" s="3"/>
      <c r="B1165" s="3"/>
      <c r="C1165" s="18"/>
      <c r="D1165" s="18"/>
      <c r="E1165" s="19"/>
      <c r="F1165" s="19"/>
      <c r="G1165" s="20"/>
      <c r="H1165" s="3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</row>
    <row r="1166" spans="1:34" ht="15.75" customHeight="1" x14ac:dyDescent="0.25">
      <c r="A1166" s="3"/>
      <c r="B1166" s="3"/>
      <c r="C1166" s="18"/>
      <c r="D1166" s="18"/>
      <c r="E1166" s="19"/>
      <c r="F1166" s="19"/>
      <c r="G1166" s="20"/>
      <c r="H1166" s="3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</row>
    <row r="1167" spans="1:34" ht="15.75" customHeight="1" x14ac:dyDescent="0.25">
      <c r="A1167" s="3"/>
      <c r="B1167" s="3"/>
      <c r="C1167" s="18"/>
      <c r="D1167" s="18"/>
      <c r="E1167" s="19"/>
      <c r="F1167" s="19"/>
      <c r="G1167" s="20"/>
      <c r="H1167" s="3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</row>
    <row r="1168" spans="1:34" ht="15.75" customHeight="1" x14ac:dyDescent="0.25">
      <c r="A1168" s="3"/>
      <c r="B1168" s="3"/>
      <c r="C1168" s="18"/>
      <c r="D1168" s="18"/>
      <c r="E1168" s="19"/>
      <c r="F1168" s="19"/>
      <c r="G1168" s="20"/>
      <c r="H1168" s="3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</row>
    <row r="1169" spans="1:34" ht="15.75" customHeight="1" x14ac:dyDescent="0.25">
      <c r="A1169" s="3"/>
      <c r="B1169" s="3"/>
      <c r="C1169" s="18"/>
      <c r="D1169" s="18"/>
      <c r="E1169" s="19"/>
      <c r="F1169" s="19"/>
      <c r="G1169" s="20"/>
      <c r="H1169" s="3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</row>
    <row r="1170" spans="1:34" ht="15.75" customHeight="1" x14ac:dyDescent="0.25">
      <c r="A1170" s="3"/>
      <c r="B1170" s="3"/>
      <c r="C1170" s="18"/>
      <c r="D1170" s="18"/>
      <c r="E1170" s="19"/>
      <c r="F1170" s="19"/>
      <c r="G1170" s="20"/>
      <c r="H1170" s="3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</row>
    <row r="1171" spans="1:34" ht="15.75" customHeight="1" x14ac:dyDescent="0.25">
      <c r="A1171" s="3"/>
      <c r="B1171" s="3"/>
      <c r="C1171" s="18"/>
      <c r="D1171" s="18"/>
      <c r="E1171" s="19"/>
      <c r="F1171" s="19"/>
      <c r="G1171" s="20"/>
      <c r="H1171" s="3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</row>
    <row r="1172" spans="1:34" ht="15.75" customHeight="1" x14ac:dyDescent="0.25">
      <c r="A1172" s="3"/>
      <c r="B1172" s="3"/>
      <c r="C1172" s="18"/>
      <c r="D1172" s="18"/>
      <c r="E1172" s="19"/>
      <c r="F1172" s="19"/>
      <c r="G1172" s="20"/>
      <c r="H1172" s="3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</row>
    <row r="1173" spans="1:34" ht="15.75" customHeight="1" x14ac:dyDescent="0.25">
      <c r="A1173" s="3"/>
      <c r="B1173" s="3"/>
      <c r="C1173" s="18"/>
      <c r="D1173" s="18"/>
      <c r="E1173" s="19"/>
      <c r="F1173" s="19"/>
      <c r="G1173" s="20"/>
      <c r="H1173" s="3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</row>
    <row r="1174" spans="1:34" ht="15.75" customHeight="1" x14ac:dyDescent="0.25">
      <c r="A1174" s="3"/>
      <c r="B1174" s="3"/>
      <c r="C1174" s="18"/>
      <c r="D1174" s="18"/>
      <c r="E1174" s="19"/>
      <c r="F1174" s="19"/>
      <c r="G1174" s="20"/>
      <c r="H1174" s="3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</row>
    <row r="1175" spans="1:34" ht="15.75" customHeight="1" x14ac:dyDescent="0.25">
      <c r="A1175" s="3"/>
      <c r="B1175" s="3"/>
      <c r="C1175" s="18"/>
      <c r="D1175" s="18"/>
      <c r="E1175" s="19"/>
      <c r="F1175" s="19"/>
      <c r="G1175" s="20"/>
      <c r="H1175" s="3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</row>
    <row r="1176" spans="1:34" ht="15.75" customHeight="1" x14ac:dyDescent="0.25">
      <c r="A1176" s="3"/>
      <c r="B1176" s="3"/>
      <c r="C1176" s="18"/>
      <c r="D1176" s="18"/>
      <c r="E1176" s="19"/>
      <c r="F1176" s="19"/>
      <c r="G1176" s="20"/>
      <c r="H1176" s="3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</row>
    <row r="1177" spans="1:34" ht="15.75" customHeight="1" x14ac:dyDescent="0.25">
      <c r="A1177" s="3"/>
      <c r="B1177" s="3"/>
      <c r="C1177" s="18"/>
      <c r="D1177" s="18"/>
      <c r="E1177" s="19"/>
      <c r="F1177" s="19"/>
      <c r="G1177" s="20"/>
      <c r="H1177" s="3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</row>
    <row r="1178" spans="1:34" ht="15.75" customHeight="1" x14ac:dyDescent="0.25">
      <c r="A1178" s="3"/>
      <c r="B1178" s="3"/>
      <c r="C1178" s="18"/>
      <c r="D1178" s="18"/>
      <c r="E1178" s="19"/>
      <c r="F1178" s="19"/>
      <c r="G1178" s="20"/>
      <c r="H1178" s="3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</row>
    <row r="1179" spans="1:34" ht="15.75" customHeight="1" x14ac:dyDescent="0.25">
      <c r="A1179" s="3"/>
      <c r="B1179" s="3"/>
      <c r="C1179" s="18"/>
      <c r="D1179" s="18"/>
      <c r="E1179" s="19"/>
      <c r="F1179" s="19"/>
      <c r="G1179" s="20"/>
      <c r="H1179" s="3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</row>
    <row r="1180" spans="1:34" ht="15.75" customHeight="1" x14ac:dyDescent="0.25">
      <c r="A1180" s="3"/>
      <c r="B1180" s="3"/>
      <c r="C1180" s="18"/>
      <c r="D1180" s="18"/>
      <c r="E1180" s="19"/>
      <c r="F1180" s="19"/>
      <c r="G1180" s="20"/>
      <c r="H1180" s="3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</row>
    <row r="1181" spans="1:34" ht="15.75" customHeight="1" x14ac:dyDescent="0.25">
      <c r="A1181" s="3"/>
      <c r="B1181" s="3"/>
      <c r="C1181" s="18"/>
      <c r="D1181" s="18"/>
      <c r="E1181" s="19"/>
      <c r="F1181" s="19"/>
      <c r="G1181" s="20"/>
      <c r="H1181" s="3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</row>
    <row r="1182" spans="1:34" ht="15.75" customHeight="1" x14ac:dyDescent="0.25">
      <c r="A1182" s="3"/>
      <c r="B1182" s="3"/>
      <c r="C1182" s="18"/>
      <c r="D1182" s="18"/>
      <c r="E1182" s="19"/>
      <c r="F1182" s="19"/>
      <c r="G1182" s="20"/>
      <c r="H1182" s="3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</row>
    <row r="1183" spans="1:34" ht="15.75" customHeight="1" x14ac:dyDescent="0.25">
      <c r="A1183" s="3"/>
      <c r="B1183" s="3"/>
      <c r="C1183" s="18"/>
      <c r="D1183" s="18"/>
      <c r="E1183" s="19"/>
      <c r="F1183" s="19"/>
      <c r="G1183" s="20"/>
      <c r="H1183" s="3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</row>
    <row r="1184" spans="1:34" ht="15.75" customHeight="1" x14ac:dyDescent="0.25">
      <c r="A1184" s="3"/>
      <c r="B1184" s="3"/>
      <c r="C1184" s="18"/>
      <c r="D1184" s="18"/>
      <c r="E1184" s="19"/>
      <c r="F1184" s="19"/>
      <c r="G1184" s="20"/>
      <c r="H1184" s="3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</row>
    <row r="1185" spans="1:34" ht="15.75" customHeight="1" x14ac:dyDescent="0.25">
      <c r="A1185" s="3"/>
      <c r="B1185" s="3"/>
      <c r="C1185" s="18"/>
      <c r="D1185" s="18"/>
      <c r="E1185" s="19"/>
      <c r="F1185" s="19"/>
      <c r="G1185" s="20"/>
      <c r="H1185" s="3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</row>
    <row r="1186" spans="1:34" ht="15.75" customHeight="1" x14ac:dyDescent="0.25">
      <c r="A1186" s="3"/>
      <c r="B1186" s="3"/>
      <c r="C1186" s="18"/>
      <c r="D1186" s="18"/>
      <c r="E1186" s="19"/>
      <c r="F1186" s="19"/>
      <c r="G1186" s="20"/>
      <c r="H1186" s="3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</row>
    <row r="1187" spans="1:34" ht="15.75" customHeight="1" x14ac:dyDescent="0.25">
      <c r="A1187" s="3"/>
      <c r="B1187" s="3"/>
      <c r="C1187" s="18"/>
      <c r="D1187" s="18"/>
      <c r="E1187" s="19"/>
      <c r="F1187" s="19"/>
      <c r="G1187" s="20"/>
      <c r="H1187" s="3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</row>
    <row r="1188" spans="1:34" ht="15.75" customHeight="1" x14ac:dyDescent="0.25">
      <c r="A1188" s="3"/>
      <c r="B1188" s="3"/>
      <c r="C1188" s="18"/>
      <c r="D1188" s="18"/>
      <c r="E1188" s="19"/>
      <c r="F1188" s="19"/>
      <c r="G1188" s="20"/>
      <c r="H1188" s="3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</row>
    <row r="1189" spans="1:34" ht="15.75" customHeight="1" x14ac:dyDescent="0.25">
      <c r="A1189" s="3"/>
      <c r="B1189" s="3"/>
      <c r="C1189" s="18"/>
      <c r="D1189" s="18"/>
      <c r="E1189" s="19"/>
      <c r="F1189" s="19"/>
      <c r="G1189" s="20"/>
      <c r="H1189" s="3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</row>
    <row r="1190" spans="1:34" ht="15.75" customHeight="1" x14ac:dyDescent="0.25">
      <c r="A1190" s="3"/>
      <c r="B1190" s="3"/>
      <c r="C1190" s="18"/>
      <c r="D1190" s="18"/>
      <c r="E1190" s="19"/>
      <c r="F1190" s="19"/>
      <c r="G1190" s="20"/>
      <c r="H1190" s="3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</row>
    <row r="1191" spans="1:34" ht="15.75" customHeight="1" x14ac:dyDescent="0.25">
      <c r="A1191" s="3"/>
      <c r="B1191" s="3"/>
      <c r="C1191" s="18"/>
      <c r="D1191" s="18"/>
      <c r="E1191" s="19"/>
      <c r="F1191" s="19"/>
      <c r="G1191" s="20"/>
      <c r="H1191" s="3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</row>
    <row r="1192" spans="1:34" ht="15.75" customHeight="1" x14ac:dyDescent="0.25">
      <c r="A1192" s="3"/>
      <c r="B1192" s="3"/>
      <c r="C1192" s="18"/>
      <c r="D1192" s="18"/>
      <c r="E1192" s="19"/>
      <c r="F1192" s="19"/>
      <c r="G1192" s="20"/>
      <c r="H1192" s="3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</row>
    <row r="1193" spans="1:34" ht="15.75" customHeight="1" x14ac:dyDescent="0.25">
      <c r="A1193" s="3"/>
      <c r="B1193" s="3"/>
      <c r="C1193" s="18"/>
      <c r="D1193" s="18"/>
      <c r="E1193" s="19"/>
      <c r="F1193" s="19"/>
      <c r="G1193" s="20"/>
      <c r="H1193" s="3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</row>
    <row r="1194" spans="1:34" ht="15.75" customHeight="1" x14ac:dyDescent="0.25">
      <c r="A1194" s="3"/>
      <c r="B1194" s="3"/>
      <c r="C1194" s="18"/>
      <c r="D1194" s="18"/>
      <c r="E1194" s="19"/>
      <c r="F1194" s="19"/>
      <c r="G1194" s="20"/>
      <c r="H1194" s="3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</row>
    <row r="1195" spans="1:34" ht="15.75" customHeight="1" x14ac:dyDescent="0.25">
      <c r="A1195" s="3"/>
      <c r="B1195" s="3"/>
      <c r="C1195" s="18"/>
      <c r="D1195" s="18"/>
      <c r="E1195" s="19"/>
      <c r="F1195" s="19"/>
      <c r="G1195" s="20"/>
      <c r="H1195" s="3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</row>
    <row r="1196" spans="1:34" ht="15.75" customHeight="1" x14ac:dyDescent="0.25">
      <c r="A1196" s="3"/>
      <c r="B1196" s="3"/>
      <c r="C1196" s="18"/>
      <c r="D1196" s="18"/>
      <c r="E1196" s="19"/>
      <c r="F1196" s="19"/>
      <c r="G1196" s="20"/>
      <c r="H1196" s="3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</row>
    <row r="1197" spans="1:34" ht="15.75" customHeight="1" x14ac:dyDescent="0.25">
      <c r="A1197" s="3"/>
      <c r="B1197" s="3"/>
      <c r="C1197" s="18"/>
      <c r="D1197" s="18"/>
      <c r="E1197" s="19"/>
      <c r="F1197" s="19"/>
      <c r="G1197" s="20"/>
      <c r="H1197" s="3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</row>
    <row r="1198" spans="1:34" ht="15.75" customHeight="1" x14ac:dyDescent="0.25">
      <c r="A1198" s="3"/>
      <c r="B1198" s="3"/>
      <c r="C1198" s="18"/>
      <c r="D1198" s="18"/>
      <c r="E1198" s="19"/>
      <c r="F1198" s="19"/>
      <c r="G1198" s="20"/>
      <c r="H1198" s="3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</row>
    <row r="1199" spans="1:34" ht="15.75" customHeight="1" x14ac:dyDescent="0.25">
      <c r="A1199" s="3"/>
      <c r="B1199" s="3"/>
      <c r="C1199" s="18"/>
      <c r="D1199" s="18"/>
      <c r="E1199" s="19"/>
      <c r="F1199" s="19"/>
      <c r="G1199" s="20"/>
      <c r="H1199" s="3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</row>
    <row r="1200" spans="1:34" ht="15.75" customHeight="1" x14ac:dyDescent="0.25">
      <c r="A1200" s="3"/>
      <c r="B1200" s="3"/>
      <c r="C1200" s="18"/>
      <c r="D1200" s="18"/>
      <c r="E1200" s="19"/>
      <c r="F1200" s="19"/>
      <c r="G1200" s="20"/>
      <c r="H1200" s="3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</row>
    <row r="1201" spans="1:34" ht="15.75" customHeight="1" x14ac:dyDescent="0.25">
      <c r="A1201" s="3"/>
      <c r="B1201" s="3"/>
      <c r="C1201" s="18"/>
      <c r="D1201" s="18"/>
      <c r="E1201" s="19"/>
      <c r="F1201" s="19"/>
      <c r="G1201" s="20"/>
      <c r="H1201" s="3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</row>
    <row r="1202" spans="1:34" ht="15.75" customHeight="1" x14ac:dyDescent="0.25">
      <c r="A1202" s="3"/>
      <c r="B1202" s="3"/>
      <c r="C1202" s="18"/>
      <c r="D1202" s="18"/>
      <c r="E1202" s="19"/>
      <c r="F1202" s="19"/>
      <c r="G1202" s="20"/>
      <c r="H1202" s="3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</row>
    <row r="1203" spans="1:34" ht="15.75" customHeight="1" x14ac:dyDescent="0.25">
      <c r="A1203" s="3"/>
      <c r="B1203" s="3"/>
      <c r="C1203" s="18"/>
      <c r="D1203" s="18"/>
      <c r="E1203" s="19"/>
      <c r="F1203" s="19"/>
      <c r="G1203" s="20"/>
      <c r="H1203" s="3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</row>
    <row r="1204" spans="1:34" ht="15.75" customHeight="1" x14ac:dyDescent="0.25">
      <c r="A1204" s="3"/>
      <c r="B1204" s="3"/>
      <c r="C1204" s="18"/>
      <c r="D1204" s="18"/>
      <c r="E1204" s="19"/>
      <c r="F1204" s="19"/>
      <c r="G1204" s="20"/>
      <c r="H1204" s="3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</row>
    <row r="1205" spans="1:34" ht="15.75" customHeight="1" x14ac:dyDescent="0.25">
      <c r="A1205" s="3"/>
      <c r="B1205" s="3"/>
      <c r="C1205" s="18"/>
      <c r="D1205" s="18"/>
      <c r="E1205" s="19"/>
      <c r="F1205" s="19"/>
      <c r="G1205" s="20"/>
      <c r="H1205" s="3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</row>
    <row r="1206" spans="1:34" ht="15.75" customHeight="1" x14ac:dyDescent="0.25">
      <c r="A1206" s="3"/>
      <c r="B1206" s="3"/>
      <c r="C1206" s="18"/>
      <c r="D1206" s="18"/>
      <c r="E1206" s="19"/>
      <c r="F1206" s="19"/>
      <c r="G1206" s="20"/>
      <c r="H1206" s="3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</row>
    <row r="1207" spans="1:34" ht="15.75" customHeight="1" x14ac:dyDescent="0.25">
      <c r="A1207" s="3"/>
      <c r="B1207" s="3"/>
      <c r="C1207" s="18"/>
      <c r="D1207" s="18"/>
      <c r="E1207" s="19"/>
      <c r="F1207" s="19"/>
      <c r="G1207" s="20"/>
      <c r="H1207" s="3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</row>
    <row r="1208" spans="1:34" ht="15.75" customHeight="1" x14ac:dyDescent="0.25">
      <c r="A1208" s="3"/>
      <c r="B1208" s="3"/>
      <c r="C1208" s="18"/>
      <c r="D1208" s="18"/>
      <c r="E1208" s="19"/>
      <c r="F1208" s="19"/>
      <c r="G1208" s="20"/>
      <c r="H1208" s="3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</row>
    <row r="1209" spans="1:34" ht="15.75" customHeight="1" x14ac:dyDescent="0.25">
      <c r="A1209" s="3"/>
      <c r="B1209" s="3"/>
      <c r="C1209" s="18"/>
      <c r="D1209" s="18"/>
      <c r="E1209" s="19"/>
      <c r="F1209" s="19"/>
      <c r="G1209" s="20"/>
      <c r="H1209" s="3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</row>
    <row r="1210" spans="1:34" ht="15.75" customHeight="1" x14ac:dyDescent="0.25">
      <c r="A1210" s="3"/>
      <c r="B1210" s="3"/>
      <c r="C1210" s="18"/>
      <c r="D1210" s="18"/>
      <c r="E1210" s="19"/>
      <c r="F1210" s="19"/>
      <c r="G1210" s="20"/>
      <c r="H1210" s="3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</row>
    <row r="1211" spans="1:34" ht="15.75" customHeight="1" x14ac:dyDescent="0.25">
      <c r="A1211" s="3"/>
      <c r="B1211" s="3"/>
      <c r="C1211" s="18"/>
      <c r="D1211" s="18"/>
      <c r="E1211" s="19"/>
      <c r="F1211" s="19"/>
      <c r="G1211" s="20"/>
      <c r="H1211" s="3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</row>
    <row r="1212" spans="1:34" ht="15.75" customHeight="1" x14ac:dyDescent="0.25">
      <c r="A1212" s="3"/>
      <c r="B1212" s="3"/>
      <c r="C1212" s="18"/>
      <c r="D1212" s="18"/>
      <c r="E1212" s="19"/>
      <c r="F1212" s="19"/>
      <c r="G1212" s="20"/>
      <c r="H1212" s="3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</row>
    <row r="1213" spans="1:34" ht="15.75" customHeight="1" x14ac:dyDescent="0.25">
      <c r="A1213" s="3"/>
      <c r="B1213" s="3"/>
      <c r="C1213" s="18"/>
      <c r="D1213" s="18"/>
      <c r="E1213" s="19"/>
      <c r="F1213" s="19"/>
      <c r="G1213" s="20"/>
      <c r="H1213" s="3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</row>
    <row r="1214" spans="1:34" ht="15.75" customHeight="1" x14ac:dyDescent="0.25">
      <c r="A1214" s="3"/>
      <c r="B1214" s="3"/>
      <c r="C1214" s="18"/>
      <c r="D1214" s="18"/>
      <c r="E1214" s="19"/>
      <c r="F1214" s="19"/>
      <c r="G1214" s="20"/>
      <c r="H1214" s="3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</row>
    <row r="1215" spans="1:34" ht="15.75" customHeight="1" x14ac:dyDescent="0.25">
      <c r="A1215" s="3"/>
      <c r="B1215" s="3"/>
      <c r="C1215" s="18"/>
      <c r="D1215" s="18"/>
      <c r="E1215" s="19"/>
      <c r="F1215" s="19"/>
      <c r="G1215" s="20"/>
      <c r="H1215" s="3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</row>
    <row r="1216" spans="1:34" ht="15.75" customHeight="1" x14ac:dyDescent="0.25">
      <c r="A1216" s="3"/>
      <c r="B1216" s="3"/>
      <c r="C1216" s="18"/>
      <c r="D1216" s="18"/>
      <c r="E1216" s="19"/>
      <c r="F1216" s="19"/>
      <c r="G1216" s="20"/>
      <c r="H1216" s="3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</row>
    <row r="1217" spans="1:34" ht="15.75" customHeight="1" x14ac:dyDescent="0.25">
      <c r="A1217" s="3"/>
      <c r="B1217" s="3"/>
      <c r="C1217" s="18"/>
      <c r="D1217" s="18"/>
      <c r="E1217" s="19"/>
      <c r="F1217" s="19"/>
      <c r="G1217" s="20"/>
      <c r="H1217" s="3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</row>
    <row r="1218" spans="1:34" ht="15.75" customHeight="1" x14ac:dyDescent="0.25">
      <c r="A1218" s="3"/>
      <c r="B1218" s="3"/>
      <c r="C1218" s="18"/>
      <c r="D1218" s="18"/>
      <c r="E1218" s="19"/>
      <c r="F1218" s="19"/>
      <c r="G1218" s="20"/>
      <c r="H1218" s="3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</row>
    <row r="1219" spans="1:34" ht="15.75" customHeight="1" x14ac:dyDescent="0.25">
      <c r="A1219" s="3"/>
      <c r="B1219" s="3"/>
      <c r="C1219" s="18"/>
      <c r="D1219" s="18"/>
      <c r="E1219" s="19"/>
      <c r="F1219" s="19"/>
      <c r="G1219" s="20"/>
      <c r="H1219" s="3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</row>
    <row r="1220" spans="1:34" ht="15.75" customHeight="1" x14ac:dyDescent="0.25">
      <c r="A1220" s="3"/>
      <c r="B1220" s="3"/>
      <c r="C1220" s="18"/>
      <c r="D1220" s="18"/>
      <c r="E1220" s="19"/>
      <c r="F1220" s="19"/>
      <c r="G1220" s="20"/>
      <c r="H1220" s="3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</row>
    <row r="1221" spans="1:34" ht="15.75" customHeight="1" x14ac:dyDescent="0.25">
      <c r="A1221" s="3"/>
      <c r="B1221" s="3"/>
      <c r="C1221" s="18"/>
      <c r="D1221" s="18"/>
      <c r="E1221" s="19"/>
      <c r="F1221" s="19"/>
      <c r="G1221" s="20"/>
      <c r="H1221" s="3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</row>
    <row r="1222" spans="1:34" ht="15.75" customHeight="1" x14ac:dyDescent="0.25">
      <c r="A1222" s="3"/>
      <c r="B1222" s="3"/>
      <c r="C1222" s="18"/>
      <c r="D1222" s="18"/>
      <c r="E1222" s="19"/>
      <c r="F1222" s="19"/>
      <c r="G1222" s="20"/>
      <c r="H1222" s="3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</row>
    <row r="1223" spans="1:34" ht="15.75" customHeight="1" x14ac:dyDescent="0.25">
      <c r="A1223" s="3"/>
      <c r="B1223" s="3"/>
      <c r="C1223" s="18"/>
      <c r="D1223" s="18"/>
      <c r="E1223" s="19"/>
      <c r="F1223" s="19"/>
      <c r="G1223" s="20"/>
      <c r="H1223" s="3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</row>
    <row r="1224" spans="1:34" ht="15.75" customHeight="1" x14ac:dyDescent="0.25">
      <c r="A1224" s="3"/>
      <c r="B1224" s="3"/>
      <c r="C1224" s="18"/>
      <c r="D1224" s="18"/>
      <c r="E1224" s="19"/>
      <c r="F1224" s="19"/>
      <c r="G1224" s="20"/>
      <c r="H1224" s="3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</row>
    <row r="1225" spans="1:34" ht="15.75" customHeight="1" x14ac:dyDescent="0.25">
      <c r="A1225" s="3"/>
      <c r="B1225" s="3"/>
      <c r="C1225" s="18"/>
      <c r="D1225" s="18"/>
      <c r="E1225" s="19"/>
      <c r="F1225" s="19"/>
      <c r="G1225" s="20"/>
      <c r="H1225" s="3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</row>
    <row r="1226" spans="1:34" ht="15.75" customHeight="1" x14ac:dyDescent="0.25">
      <c r="A1226" s="3"/>
      <c r="B1226" s="3"/>
      <c r="C1226" s="18"/>
      <c r="D1226" s="18"/>
      <c r="E1226" s="19"/>
      <c r="F1226" s="19"/>
      <c r="G1226" s="20"/>
      <c r="H1226" s="3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</row>
    <row r="1227" spans="1:34" ht="15.75" customHeight="1" x14ac:dyDescent="0.25">
      <c r="A1227" s="3"/>
      <c r="B1227" s="3"/>
      <c r="C1227" s="18"/>
      <c r="D1227" s="18"/>
      <c r="E1227" s="19"/>
      <c r="F1227" s="19"/>
      <c r="G1227" s="20"/>
      <c r="H1227" s="3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</row>
    <row r="1228" spans="1:34" ht="15.75" customHeight="1" x14ac:dyDescent="0.25">
      <c r="A1228" s="3"/>
      <c r="B1228" s="3"/>
      <c r="C1228" s="18"/>
      <c r="D1228" s="18"/>
      <c r="E1228" s="19"/>
      <c r="F1228" s="19"/>
      <c r="G1228" s="20"/>
      <c r="H1228" s="3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</row>
    <row r="1229" spans="1:34" ht="15.75" customHeight="1" x14ac:dyDescent="0.25">
      <c r="A1229" s="3"/>
      <c r="B1229" s="3"/>
      <c r="C1229" s="18"/>
      <c r="D1229" s="18"/>
      <c r="E1229" s="19"/>
      <c r="F1229" s="19"/>
      <c r="G1229" s="20"/>
      <c r="H1229" s="3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</row>
    <row r="1230" spans="1:34" ht="15.75" customHeight="1" x14ac:dyDescent="0.25">
      <c r="A1230" s="3"/>
      <c r="B1230" s="3"/>
      <c r="C1230" s="18"/>
      <c r="D1230" s="18"/>
      <c r="E1230" s="19"/>
      <c r="F1230" s="19"/>
      <c r="G1230" s="20"/>
      <c r="H1230" s="3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</row>
    <row r="1231" spans="1:34" ht="15.75" customHeight="1" x14ac:dyDescent="0.25">
      <c r="A1231" s="3"/>
      <c r="B1231" s="3"/>
      <c r="C1231" s="18"/>
      <c r="D1231" s="18"/>
      <c r="E1231" s="19"/>
      <c r="F1231" s="19"/>
      <c r="G1231" s="20"/>
      <c r="H1231" s="3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</row>
    <row r="1232" spans="1:34" ht="15.75" customHeight="1" x14ac:dyDescent="0.25">
      <c r="A1232" s="3"/>
      <c r="B1232" s="3"/>
      <c r="C1232" s="18"/>
      <c r="D1232" s="18"/>
      <c r="E1232" s="19"/>
      <c r="F1232" s="19"/>
      <c r="G1232" s="20"/>
      <c r="H1232" s="3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</row>
    <row r="1233" spans="1:34" ht="15.75" customHeight="1" x14ac:dyDescent="0.25">
      <c r="A1233" s="3"/>
      <c r="B1233" s="3"/>
      <c r="C1233" s="18"/>
      <c r="D1233" s="18"/>
      <c r="E1233" s="19"/>
      <c r="F1233" s="19"/>
      <c r="G1233" s="20"/>
      <c r="H1233" s="3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</row>
    <row r="1234" spans="1:34" ht="15.75" customHeight="1" x14ac:dyDescent="0.25">
      <c r="A1234" s="3"/>
      <c r="B1234" s="3"/>
      <c r="C1234" s="18"/>
      <c r="D1234" s="18"/>
      <c r="E1234" s="19"/>
      <c r="F1234" s="19"/>
      <c r="G1234" s="20"/>
      <c r="H1234" s="3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</row>
    <row r="1235" spans="1:34" ht="15.75" customHeight="1" x14ac:dyDescent="0.25">
      <c r="A1235" s="3"/>
      <c r="B1235" s="3"/>
      <c r="C1235" s="18"/>
      <c r="D1235" s="18"/>
      <c r="E1235" s="19"/>
      <c r="F1235" s="19"/>
      <c r="G1235" s="20"/>
      <c r="H1235" s="3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</row>
    <row r="1236" spans="1:34" ht="15.75" customHeight="1" x14ac:dyDescent="0.25">
      <c r="A1236" s="3"/>
      <c r="B1236" s="3"/>
      <c r="C1236" s="18"/>
      <c r="D1236" s="18"/>
      <c r="E1236" s="19"/>
      <c r="F1236" s="19"/>
      <c r="G1236" s="20"/>
      <c r="H1236" s="3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</row>
    <row r="1237" spans="1:34" ht="15.75" customHeight="1" x14ac:dyDescent="0.25">
      <c r="A1237" s="3"/>
      <c r="B1237" s="3"/>
      <c r="C1237" s="18"/>
      <c r="D1237" s="18"/>
      <c r="E1237" s="19"/>
      <c r="F1237" s="19"/>
      <c r="G1237" s="20"/>
      <c r="H1237" s="3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</row>
    <row r="1238" spans="1:34" ht="15.75" customHeight="1" x14ac:dyDescent="0.25">
      <c r="A1238" s="3"/>
      <c r="B1238" s="3"/>
      <c r="C1238" s="18"/>
      <c r="D1238" s="18"/>
      <c r="E1238" s="19"/>
      <c r="F1238" s="19"/>
      <c r="G1238" s="20"/>
      <c r="H1238" s="3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</row>
    <row r="1239" spans="1:34" ht="15.75" customHeight="1" x14ac:dyDescent="0.25">
      <c r="A1239" s="3"/>
      <c r="B1239" s="3"/>
      <c r="C1239" s="18"/>
      <c r="D1239" s="18"/>
      <c r="E1239" s="19"/>
      <c r="F1239" s="19"/>
      <c r="G1239" s="20"/>
      <c r="H1239" s="3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</row>
    <row r="1240" spans="1:34" ht="15.75" customHeight="1" x14ac:dyDescent="0.25">
      <c r="A1240" s="3"/>
      <c r="B1240" s="3"/>
      <c r="C1240" s="18"/>
      <c r="D1240" s="18"/>
      <c r="E1240" s="19"/>
      <c r="F1240" s="19"/>
      <c r="G1240" s="20"/>
      <c r="H1240" s="3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</row>
    <row r="1241" spans="1:34" ht="15.75" customHeight="1" x14ac:dyDescent="0.25">
      <c r="A1241" s="3"/>
      <c r="B1241" s="3"/>
      <c r="C1241" s="18"/>
      <c r="D1241" s="18"/>
      <c r="E1241" s="19"/>
      <c r="F1241" s="19"/>
      <c r="G1241" s="20"/>
      <c r="H1241" s="3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</row>
    <row r="1242" spans="1:34" ht="15.75" customHeight="1" x14ac:dyDescent="0.25">
      <c r="A1242" s="3"/>
      <c r="B1242" s="3"/>
      <c r="C1242" s="18"/>
      <c r="D1242" s="18"/>
      <c r="E1242" s="19"/>
      <c r="F1242" s="19"/>
      <c r="G1242" s="20"/>
      <c r="H1242" s="3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</row>
    <row r="1243" spans="1:34" ht="15.75" customHeight="1" x14ac:dyDescent="0.25">
      <c r="A1243" s="3"/>
      <c r="B1243" s="3"/>
      <c r="C1243" s="18"/>
      <c r="D1243" s="18"/>
      <c r="E1243" s="19"/>
      <c r="F1243" s="19"/>
      <c r="G1243" s="20"/>
      <c r="H1243" s="3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</row>
    <row r="1244" spans="1:34" ht="15.75" customHeight="1" x14ac:dyDescent="0.25">
      <c r="A1244" s="3"/>
      <c r="B1244" s="3"/>
      <c r="C1244" s="18"/>
      <c r="D1244" s="18"/>
      <c r="E1244" s="19"/>
      <c r="F1244" s="19"/>
      <c r="G1244" s="20"/>
      <c r="H1244" s="3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</row>
    <row r="1245" spans="1:34" ht="15.75" customHeight="1" x14ac:dyDescent="0.25">
      <c r="A1245" s="3"/>
      <c r="B1245" s="3"/>
      <c r="C1245" s="18"/>
      <c r="D1245" s="18"/>
      <c r="E1245" s="19"/>
      <c r="F1245" s="19"/>
      <c r="G1245" s="20"/>
      <c r="H1245" s="3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</row>
    <row r="1246" spans="1:34" ht="15.75" customHeight="1" x14ac:dyDescent="0.25">
      <c r="A1246" s="3"/>
      <c r="B1246" s="3"/>
      <c r="C1246" s="18"/>
      <c r="D1246" s="18"/>
      <c r="E1246" s="19"/>
      <c r="F1246" s="19"/>
      <c r="G1246" s="20"/>
      <c r="H1246" s="3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</row>
    <row r="1247" spans="1:34" ht="15.75" customHeight="1" x14ac:dyDescent="0.25">
      <c r="A1247" s="3"/>
      <c r="B1247" s="3"/>
      <c r="C1247" s="18"/>
      <c r="D1247" s="18"/>
      <c r="E1247" s="19"/>
      <c r="F1247" s="19"/>
      <c r="G1247" s="20"/>
      <c r="H1247" s="3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</row>
    <row r="1248" spans="1:34" ht="15.75" customHeight="1" x14ac:dyDescent="0.25">
      <c r="A1248" s="3"/>
      <c r="B1248" s="3"/>
      <c r="C1248" s="18"/>
      <c r="D1248" s="18"/>
      <c r="E1248" s="19"/>
      <c r="F1248" s="19"/>
      <c r="G1248" s="20"/>
      <c r="H1248" s="3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</row>
    <row r="1249" spans="1:34" ht="15.75" customHeight="1" x14ac:dyDescent="0.25">
      <c r="A1249" s="3"/>
      <c r="B1249" s="3"/>
      <c r="C1249" s="18"/>
      <c r="D1249" s="18"/>
      <c r="E1249" s="19"/>
      <c r="F1249" s="19"/>
      <c r="G1249" s="20"/>
      <c r="H1249" s="3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</row>
    <row r="1250" spans="1:34" ht="15.75" customHeight="1" x14ac:dyDescent="0.25">
      <c r="A1250" s="3"/>
      <c r="B1250" s="3"/>
      <c r="C1250" s="18"/>
      <c r="D1250" s="18"/>
      <c r="E1250" s="19"/>
      <c r="F1250" s="19"/>
      <c r="G1250" s="20"/>
      <c r="H1250" s="3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</row>
    <row r="1251" spans="1:34" ht="15.75" customHeight="1" x14ac:dyDescent="0.25">
      <c r="A1251" s="3"/>
      <c r="B1251" s="3"/>
      <c r="C1251" s="18"/>
      <c r="D1251" s="18"/>
      <c r="E1251" s="19"/>
      <c r="F1251" s="19"/>
      <c r="G1251" s="20"/>
      <c r="H1251" s="3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</row>
    <row r="1252" spans="1:34" ht="15.75" customHeight="1" x14ac:dyDescent="0.25">
      <c r="A1252" s="3"/>
      <c r="B1252" s="3"/>
      <c r="C1252" s="18"/>
      <c r="D1252" s="18"/>
      <c r="E1252" s="19"/>
      <c r="F1252" s="19"/>
      <c r="G1252" s="20"/>
      <c r="H1252" s="3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</row>
    <row r="1253" spans="1:34" ht="15.75" customHeight="1" x14ac:dyDescent="0.25">
      <c r="A1253" s="3"/>
      <c r="B1253" s="3"/>
      <c r="C1253" s="18"/>
      <c r="D1253" s="18"/>
      <c r="E1253" s="19"/>
      <c r="F1253" s="19"/>
      <c r="G1253" s="20"/>
      <c r="H1253" s="3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</row>
    <row r="1254" spans="1:34" ht="15.75" customHeight="1" x14ac:dyDescent="0.25">
      <c r="A1254" s="3"/>
      <c r="B1254" s="3"/>
      <c r="C1254" s="18"/>
      <c r="D1254" s="18"/>
      <c r="E1254" s="19"/>
      <c r="F1254" s="19"/>
      <c r="G1254" s="20"/>
      <c r="H1254" s="3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</row>
    <row r="1255" spans="1:34" ht="15.75" customHeight="1" x14ac:dyDescent="0.25">
      <c r="A1255" s="3"/>
      <c r="B1255" s="3"/>
      <c r="C1255" s="18"/>
      <c r="D1255" s="18"/>
      <c r="E1255" s="19"/>
      <c r="F1255" s="19"/>
      <c r="G1255" s="20"/>
      <c r="H1255" s="3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</row>
    <row r="1256" spans="1:34" ht="15.75" customHeight="1" x14ac:dyDescent="0.25">
      <c r="A1256" s="3"/>
      <c r="B1256" s="3"/>
      <c r="C1256" s="18"/>
      <c r="D1256" s="18"/>
      <c r="E1256" s="19"/>
      <c r="F1256" s="19"/>
      <c r="G1256" s="20"/>
      <c r="H1256" s="3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</row>
    <row r="1257" spans="1:34" ht="15.75" customHeight="1" x14ac:dyDescent="0.25">
      <c r="A1257" s="3"/>
      <c r="B1257" s="3"/>
      <c r="C1257" s="18"/>
      <c r="D1257" s="18"/>
      <c r="E1257" s="19"/>
      <c r="F1257" s="19"/>
      <c r="G1257" s="20"/>
      <c r="H1257" s="3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</row>
    <row r="1258" spans="1:34" ht="15.75" customHeight="1" x14ac:dyDescent="0.25">
      <c r="A1258" s="3"/>
      <c r="B1258" s="3"/>
      <c r="C1258" s="18"/>
      <c r="D1258" s="18"/>
      <c r="E1258" s="19"/>
      <c r="F1258" s="19"/>
      <c r="G1258" s="20"/>
      <c r="H1258" s="3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</row>
    <row r="1259" spans="1:34" ht="15.75" customHeight="1" x14ac:dyDescent="0.25">
      <c r="A1259" s="3"/>
      <c r="B1259" s="3"/>
      <c r="C1259" s="18"/>
      <c r="D1259" s="18"/>
      <c r="E1259" s="19"/>
      <c r="F1259" s="19"/>
      <c r="G1259" s="20"/>
      <c r="H1259" s="3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</row>
    <row r="1260" spans="1:34" ht="15.75" customHeight="1" x14ac:dyDescent="0.25">
      <c r="A1260" s="3"/>
      <c r="B1260" s="3"/>
      <c r="C1260" s="18"/>
      <c r="D1260" s="18"/>
      <c r="E1260" s="19"/>
      <c r="F1260" s="19"/>
      <c r="G1260" s="20"/>
      <c r="H1260" s="3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</row>
    <row r="1261" spans="1:34" ht="15.75" customHeight="1" x14ac:dyDescent="0.25">
      <c r="A1261" s="3"/>
      <c r="B1261" s="3"/>
      <c r="C1261" s="18"/>
      <c r="D1261" s="18"/>
      <c r="E1261" s="19"/>
      <c r="F1261" s="19"/>
      <c r="G1261" s="20"/>
      <c r="H1261" s="3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</row>
    <row r="1262" spans="1:34" ht="15.75" customHeight="1" x14ac:dyDescent="0.25">
      <c r="A1262" s="3"/>
      <c r="B1262" s="3"/>
      <c r="C1262" s="18"/>
      <c r="D1262" s="18"/>
      <c r="E1262" s="19"/>
      <c r="F1262" s="19"/>
      <c r="G1262" s="20"/>
      <c r="H1262" s="3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</row>
    <row r="1263" spans="1:34" ht="15.75" customHeight="1" x14ac:dyDescent="0.25">
      <c r="A1263" s="3"/>
      <c r="B1263" s="3"/>
      <c r="C1263" s="18"/>
      <c r="D1263" s="18"/>
      <c r="E1263" s="19"/>
      <c r="F1263" s="19"/>
      <c r="G1263" s="20"/>
      <c r="H1263" s="3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</row>
    <row r="1264" spans="1:34" ht="15.75" customHeight="1" x14ac:dyDescent="0.25">
      <c r="A1264" s="3"/>
      <c r="B1264" s="3"/>
      <c r="C1264" s="18"/>
      <c r="D1264" s="18"/>
      <c r="E1264" s="19"/>
      <c r="F1264" s="19"/>
      <c r="G1264" s="20"/>
      <c r="H1264" s="3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</row>
    <row r="1265" spans="1:34" ht="15.75" customHeight="1" x14ac:dyDescent="0.25">
      <c r="A1265" s="3"/>
      <c r="B1265" s="3"/>
      <c r="C1265" s="18"/>
      <c r="D1265" s="18"/>
      <c r="E1265" s="19"/>
      <c r="F1265" s="19"/>
      <c r="G1265" s="20"/>
      <c r="H1265" s="3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</row>
    <row r="1266" spans="1:34" ht="15.75" customHeight="1" x14ac:dyDescent="0.25">
      <c r="A1266" s="3"/>
      <c r="B1266" s="3"/>
      <c r="C1266" s="18"/>
      <c r="D1266" s="18"/>
      <c r="E1266" s="19"/>
      <c r="F1266" s="19"/>
      <c r="G1266" s="20"/>
      <c r="H1266" s="3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</row>
    <row r="1267" spans="1:34" ht="15.75" customHeight="1" x14ac:dyDescent="0.25">
      <c r="A1267" s="3"/>
      <c r="B1267" s="3"/>
      <c r="C1267" s="18"/>
      <c r="D1267" s="18"/>
      <c r="E1267" s="19"/>
      <c r="F1267" s="19"/>
      <c r="G1267" s="20"/>
      <c r="H1267" s="3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</row>
    <row r="1268" spans="1:34" ht="15.75" customHeight="1" x14ac:dyDescent="0.25">
      <c r="A1268" s="3"/>
      <c r="B1268" s="3"/>
      <c r="C1268" s="18"/>
      <c r="D1268" s="18"/>
      <c r="E1268" s="19"/>
      <c r="F1268" s="19"/>
      <c r="G1268" s="20"/>
      <c r="H1268" s="3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</row>
    <row r="1269" spans="1:34" ht="15.75" customHeight="1" x14ac:dyDescent="0.25">
      <c r="A1269" s="3"/>
      <c r="B1269" s="3"/>
      <c r="C1269" s="18"/>
      <c r="D1269" s="18"/>
      <c r="E1269" s="19"/>
      <c r="F1269" s="19"/>
      <c r="G1269" s="20"/>
      <c r="H1269" s="3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</row>
    <row r="1270" spans="1:34" ht="15.75" customHeight="1" x14ac:dyDescent="0.25">
      <c r="A1270" s="3"/>
      <c r="B1270" s="3"/>
      <c r="C1270" s="18"/>
      <c r="D1270" s="18"/>
      <c r="E1270" s="19"/>
      <c r="F1270" s="19"/>
      <c r="G1270" s="20"/>
      <c r="H1270" s="3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</row>
    <row r="1271" spans="1:34" ht="15.75" customHeight="1" x14ac:dyDescent="0.25">
      <c r="A1271" s="3"/>
      <c r="B1271" s="3"/>
      <c r="C1271" s="18"/>
      <c r="D1271" s="18"/>
      <c r="E1271" s="19"/>
      <c r="F1271" s="19"/>
      <c r="G1271" s="20"/>
      <c r="H1271" s="3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</row>
    <row r="1272" spans="1:34" ht="15.75" customHeight="1" x14ac:dyDescent="0.25">
      <c r="A1272" s="3"/>
      <c r="B1272" s="3"/>
      <c r="C1272" s="18"/>
      <c r="D1272" s="18"/>
      <c r="E1272" s="19"/>
      <c r="F1272" s="19"/>
      <c r="G1272" s="20"/>
      <c r="H1272" s="3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</row>
    <row r="1273" spans="1:34" ht="15.75" customHeight="1" x14ac:dyDescent="0.25">
      <c r="A1273" s="3"/>
      <c r="B1273" s="3"/>
      <c r="C1273" s="18"/>
      <c r="D1273" s="18"/>
      <c r="E1273" s="19"/>
      <c r="F1273" s="19"/>
      <c r="G1273" s="20"/>
      <c r="H1273" s="3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</row>
    <row r="1274" spans="1:34" ht="15.75" customHeight="1" x14ac:dyDescent="0.25">
      <c r="A1274" s="3"/>
      <c r="B1274" s="3"/>
      <c r="C1274" s="18"/>
      <c r="D1274" s="18"/>
      <c r="E1274" s="19"/>
      <c r="F1274" s="19"/>
      <c r="G1274" s="20"/>
      <c r="H1274" s="3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</row>
    <row r="1275" spans="1:34" ht="15.75" customHeight="1" x14ac:dyDescent="0.25">
      <c r="A1275" s="3"/>
      <c r="B1275" s="3"/>
      <c r="C1275" s="18"/>
      <c r="D1275" s="18"/>
      <c r="E1275" s="19"/>
      <c r="F1275" s="19"/>
      <c r="G1275" s="20"/>
      <c r="H1275" s="3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</row>
    <row r="1276" spans="1:34" ht="15.75" customHeight="1" x14ac:dyDescent="0.25">
      <c r="A1276" s="3"/>
      <c r="B1276" s="3"/>
      <c r="C1276" s="18"/>
      <c r="D1276" s="18"/>
      <c r="E1276" s="19"/>
      <c r="F1276" s="19"/>
      <c r="G1276" s="20"/>
      <c r="H1276" s="3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</row>
    <row r="1277" spans="1:34" ht="15.75" customHeight="1" x14ac:dyDescent="0.25">
      <c r="A1277" s="3"/>
      <c r="B1277" s="3"/>
      <c r="C1277" s="18"/>
      <c r="D1277" s="18"/>
      <c r="E1277" s="19"/>
      <c r="F1277" s="19"/>
      <c r="G1277" s="20"/>
      <c r="H1277" s="3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</row>
    <row r="1278" spans="1:34" ht="15.75" customHeight="1" x14ac:dyDescent="0.25">
      <c r="A1278" s="3"/>
      <c r="B1278" s="3"/>
      <c r="C1278" s="18"/>
      <c r="D1278" s="18"/>
      <c r="E1278" s="19"/>
      <c r="F1278" s="19"/>
      <c r="G1278" s="20"/>
      <c r="H1278" s="3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</row>
    <row r="1279" spans="1:34" ht="15.75" customHeight="1" x14ac:dyDescent="0.25">
      <c r="A1279" s="3"/>
      <c r="B1279" s="3"/>
      <c r="C1279" s="18"/>
      <c r="D1279" s="18"/>
      <c r="E1279" s="19"/>
      <c r="F1279" s="19"/>
      <c r="G1279" s="20"/>
      <c r="H1279" s="3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</row>
    <row r="1280" spans="1:34" ht="15.75" customHeight="1" x14ac:dyDescent="0.25">
      <c r="A1280" s="3"/>
      <c r="B1280" s="3"/>
      <c r="C1280" s="18"/>
      <c r="D1280" s="18"/>
      <c r="E1280" s="19"/>
      <c r="F1280" s="19"/>
      <c r="G1280" s="20"/>
      <c r="H1280" s="3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</row>
    <row r="1281" spans="1:34" ht="15.75" customHeight="1" x14ac:dyDescent="0.25">
      <c r="A1281" s="3"/>
      <c r="B1281" s="3"/>
      <c r="C1281" s="18"/>
      <c r="D1281" s="18"/>
      <c r="E1281" s="19"/>
      <c r="F1281" s="19"/>
      <c r="G1281" s="20"/>
      <c r="H1281" s="3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</row>
    <row r="1282" spans="1:34" ht="15.75" customHeight="1" x14ac:dyDescent="0.25">
      <c r="A1282" s="3"/>
      <c r="B1282" s="3"/>
      <c r="C1282" s="18"/>
      <c r="D1282" s="18"/>
      <c r="E1282" s="19"/>
      <c r="F1282" s="19"/>
      <c r="G1282" s="20"/>
      <c r="H1282" s="3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</row>
    <row r="1283" spans="1:34" ht="15.75" customHeight="1" x14ac:dyDescent="0.25">
      <c r="A1283" s="3"/>
      <c r="B1283" s="3"/>
      <c r="C1283" s="18"/>
      <c r="D1283" s="18"/>
      <c r="E1283" s="19"/>
      <c r="F1283" s="19"/>
      <c r="G1283" s="20"/>
      <c r="H1283" s="3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</row>
    <row r="1284" spans="1:34" ht="15.75" customHeight="1" x14ac:dyDescent="0.25">
      <c r="A1284" s="3"/>
      <c r="B1284" s="3"/>
      <c r="C1284" s="18"/>
      <c r="D1284" s="18"/>
      <c r="E1284" s="19"/>
      <c r="F1284" s="19"/>
      <c r="G1284" s="20"/>
      <c r="H1284" s="3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</row>
    <row r="1285" spans="1:34" ht="15.75" customHeight="1" x14ac:dyDescent="0.25">
      <c r="A1285" s="3"/>
      <c r="B1285" s="3"/>
      <c r="C1285" s="18"/>
      <c r="D1285" s="18"/>
      <c r="E1285" s="19"/>
      <c r="F1285" s="19"/>
      <c r="G1285" s="20"/>
      <c r="H1285" s="3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</row>
    <row r="1286" spans="1:34" ht="15.75" customHeight="1" x14ac:dyDescent="0.25">
      <c r="A1286" s="3"/>
      <c r="B1286" s="3"/>
      <c r="C1286" s="18"/>
      <c r="D1286" s="18"/>
      <c r="E1286" s="19"/>
      <c r="F1286" s="19"/>
      <c r="G1286" s="20"/>
      <c r="H1286" s="3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</row>
    <row r="1287" spans="1:34" ht="15.75" customHeight="1" x14ac:dyDescent="0.25">
      <c r="A1287" s="3"/>
      <c r="B1287" s="3"/>
      <c r="C1287" s="18"/>
      <c r="D1287" s="18"/>
      <c r="E1287" s="19"/>
      <c r="F1287" s="19"/>
      <c r="G1287" s="20"/>
      <c r="H1287" s="3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</row>
    <row r="1288" spans="1:34" ht="15.75" customHeight="1" x14ac:dyDescent="0.25">
      <c r="A1288" s="3"/>
      <c r="B1288" s="3"/>
      <c r="C1288" s="18"/>
      <c r="D1288" s="18"/>
      <c r="E1288" s="19"/>
      <c r="F1288" s="19"/>
      <c r="G1288" s="20"/>
      <c r="H1288" s="3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</row>
    <row r="1289" spans="1:34" ht="15.75" customHeight="1" x14ac:dyDescent="0.25">
      <c r="A1289" s="3"/>
      <c r="B1289" s="3"/>
      <c r="C1289" s="18"/>
      <c r="D1289" s="18"/>
      <c r="E1289" s="19"/>
      <c r="F1289" s="19"/>
      <c r="G1289" s="20"/>
      <c r="H1289" s="3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</row>
    <row r="1290" spans="1:34" ht="15.75" customHeight="1" x14ac:dyDescent="0.25">
      <c r="A1290" s="3"/>
      <c r="B1290" s="3"/>
      <c r="C1290" s="18"/>
      <c r="D1290" s="18"/>
      <c r="E1290" s="19"/>
      <c r="F1290" s="19"/>
      <c r="G1290" s="20"/>
      <c r="H1290" s="3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</row>
    <row r="1291" spans="1:34" ht="15.75" customHeight="1" x14ac:dyDescent="0.25">
      <c r="A1291" s="3"/>
      <c r="B1291" s="3"/>
      <c r="C1291" s="18"/>
      <c r="D1291" s="18"/>
      <c r="E1291" s="19"/>
      <c r="F1291" s="19"/>
      <c r="G1291" s="20"/>
      <c r="H1291" s="3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</row>
    <row r="1292" spans="1:34" ht="15.75" customHeight="1" x14ac:dyDescent="0.25">
      <c r="A1292" s="3"/>
      <c r="B1292" s="3"/>
      <c r="C1292" s="18"/>
      <c r="D1292" s="18"/>
      <c r="E1292" s="19"/>
      <c r="F1292" s="19"/>
      <c r="G1292" s="20"/>
      <c r="H1292" s="3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</row>
    <row r="1293" spans="1:34" ht="15.75" customHeight="1" x14ac:dyDescent="0.25">
      <c r="A1293" s="3"/>
      <c r="B1293" s="3"/>
      <c r="C1293" s="18"/>
      <c r="D1293" s="18"/>
      <c r="E1293" s="19"/>
      <c r="F1293" s="19"/>
      <c r="G1293" s="20"/>
      <c r="H1293" s="3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</row>
    <row r="1294" spans="1:34" ht="15.75" customHeight="1" x14ac:dyDescent="0.25">
      <c r="A1294" s="3"/>
      <c r="B1294" s="3"/>
      <c r="C1294" s="18"/>
      <c r="D1294" s="18"/>
      <c r="E1294" s="19"/>
      <c r="F1294" s="19"/>
      <c r="G1294" s="20"/>
      <c r="H1294" s="3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</row>
    <row r="1295" spans="1:34" ht="15.75" customHeight="1" x14ac:dyDescent="0.25">
      <c r="A1295" s="3"/>
      <c r="B1295" s="3"/>
      <c r="C1295" s="18"/>
      <c r="D1295" s="18"/>
      <c r="E1295" s="19"/>
      <c r="F1295" s="19"/>
      <c r="G1295" s="20"/>
      <c r="H1295" s="3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</row>
    <row r="1296" spans="1:34" ht="15.75" customHeight="1" x14ac:dyDescent="0.25">
      <c r="A1296" s="3"/>
      <c r="B1296" s="3"/>
      <c r="C1296" s="18"/>
      <c r="D1296" s="18"/>
      <c r="E1296" s="19"/>
      <c r="F1296" s="19"/>
      <c r="G1296" s="20"/>
      <c r="H1296" s="3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</row>
    <row r="1297" spans="1:34" ht="15.75" customHeight="1" x14ac:dyDescent="0.25">
      <c r="A1297" s="3"/>
      <c r="B1297" s="3"/>
      <c r="C1297" s="18"/>
      <c r="D1297" s="18"/>
      <c r="E1297" s="19"/>
      <c r="F1297" s="19"/>
      <c r="G1297" s="20"/>
      <c r="H1297" s="3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</row>
    <row r="1298" spans="1:34" ht="15.75" customHeight="1" x14ac:dyDescent="0.25">
      <c r="A1298" s="3"/>
      <c r="B1298" s="3"/>
      <c r="C1298" s="18"/>
      <c r="D1298" s="18"/>
      <c r="E1298" s="19"/>
      <c r="F1298" s="19"/>
      <c r="G1298" s="20"/>
      <c r="H1298" s="3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</row>
    <row r="1299" spans="1:34" ht="15.75" customHeight="1" x14ac:dyDescent="0.25">
      <c r="A1299" s="3"/>
      <c r="B1299" s="3"/>
      <c r="C1299" s="18"/>
      <c r="D1299" s="18"/>
      <c r="E1299" s="19"/>
      <c r="F1299" s="19"/>
      <c r="G1299" s="20"/>
      <c r="H1299" s="3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</row>
    <row r="1300" spans="1:34" ht="15.75" customHeight="1" x14ac:dyDescent="0.25">
      <c r="A1300" s="3"/>
      <c r="B1300" s="3"/>
      <c r="C1300" s="18"/>
      <c r="D1300" s="18"/>
      <c r="E1300" s="19"/>
      <c r="F1300" s="19"/>
      <c r="G1300" s="20"/>
      <c r="H1300" s="3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</row>
    <row r="1301" spans="1:34" ht="15.75" customHeight="1" x14ac:dyDescent="0.25">
      <c r="A1301" s="3"/>
      <c r="B1301" s="3"/>
      <c r="C1301" s="18"/>
      <c r="D1301" s="18"/>
      <c r="E1301" s="19"/>
      <c r="F1301" s="19"/>
      <c r="G1301" s="20"/>
      <c r="H1301" s="3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</row>
    <row r="1302" spans="1:34" ht="15.75" customHeight="1" x14ac:dyDescent="0.25">
      <c r="A1302" s="3"/>
      <c r="B1302" s="3"/>
      <c r="C1302" s="18"/>
      <c r="D1302" s="18"/>
      <c r="E1302" s="19"/>
      <c r="F1302" s="19"/>
      <c r="G1302" s="20"/>
      <c r="H1302" s="3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</row>
    <row r="1303" spans="1:34" ht="15.75" customHeight="1" x14ac:dyDescent="0.25">
      <c r="A1303" s="3"/>
      <c r="B1303" s="3"/>
      <c r="C1303" s="18"/>
      <c r="D1303" s="18"/>
      <c r="E1303" s="19"/>
      <c r="F1303" s="19"/>
      <c r="G1303" s="20"/>
      <c r="H1303" s="3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</row>
    <row r="1304" spans="1:34" ht="15.75" customHeight="1" x14ac:dyDescent="0.25">
      <c r="A1304" s="3"/>
      <c r="B1304" s="3"/>
      <c r="C1304" s="18"/>
      <c r="D1304" s="18"/>
      <c r="E1304" s="19"/>
      <c r="F1304" s="19"/>
      <c r="G1304" s="20"/>
      <c r="H1304" s="3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</row>
    <row r="1305" spans="1:34" ht="15.75" customHeight="1" x14ac:dyDescent="0.25">
      <c r="A1305" s="3"/>
      <c r="B1305" s="3"/>
      <c r="C1305" s="18"/>
      <c r="D1305" s="18"/>
      <c r="E1305" s="19"/>
      <c r="F1305" s="19"/>
      <c r="G1305" s="20"/>
      <c r="H1305" s="3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</row>
    <row r="1306" spans="1:34" ht="15.75" customHeight="1" x14ac:dyDescent="0.25">
      <c r="A1306" s="3"/>
      <c r="B1306" s="3"/>
      <c r="C1306" s="18"/>
      <c r="D1306" s="18"/>
      <c r="E1306" s="19"/>
      <c r="F1306" s="19"/>
      <c r="G1306" s="20"/>
      <c r="H1306" s="3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</row>
    <row r="1307" spans="1:34" ht="15.75" customHeight="1" x14ac:dyDescent="0.25">
      <c r="A1307" s="3"/>
      <c r="B1307" s="3"/>
      <c r="C1307" s="18"/>
      <c r="D1307" s="18"/>
      <c r="E1307" s="19"/>
      <c r="F1307" s="19"/>
      <c r="G1307" s="20"/>
      <c r="H1307" s="3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</row>
    <row r="1308" spans="1:34" ht="15.75" customHeight="1" x14ac:dyDescent="0.25">
      <c r="A1308" s="3"/>
      <c r="B1308" s="3"/>
      <c r="C1308" s="18"/>
      <c r="D1308" s="18"/>
      <c r="E1308" s="19"/>
      <c r="F1308" s="19"/>
      <c r="G1308" s="20"/>
      <c r="H1308" s="3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</row>
    <row r="1309" spans="1:34" ht="15.75" customHeight="1" x14ac:dyDescent="0.25">
      <c r="A1309" s="3"/>
      <c r="B1309" s="3"/>
      <c r="C1309" s="18"/>
      <c r="D1309" s="18"/>
      <c r="E1309" s="19"/>
      <c r="F1309" s="19"/>
      <c r="G1309" s="20"/>
      <c r="H1309" s="3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</row>
    <row r="1310" spans="1:34" ht="15.75" customHeight="1" x14ac:dyDescent="0.25">
      <c r="A1310" s="3"/>
      <c r="B1310" s="3"/>
      <c r="C1310" s="18"/>
      <c r="D1310" s="18"/>
      <c r="E1310" s="19"/>
      <c r="F1310" s="19"/>
      <c r="G1310" s="20"/>
      <c r="H1310" s="3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</row>
    <row r="1311" spans="1:34" ht="15.75" customHeight="1" x14ac:dyDescent="0.25">
      <c r="A1311" s="3"/>
      <c r="B1311" s="3"/>
      <c r="C1311" s="18"/>
      <c r="D1311" s="18"/>
      <c r="E1311" s="19"/>
      <c r="F1311" s="19"/>
      <c r="G1311" s="20"/>
      <c r="H1311" s="3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</row>
    <row r="1312" spans="1:34" ht="15.75" customHeight="1" x14ac:dyDescent="0.25">
      <c r="A1312" s="3"/>
      <c r="B1312" s="3"/>
      <c r="C1312" s="18"/>
      <c r="D1312" s="18"/>
      <c r="E1312" s="19"/>
      <c r="F1312" s="19"/>
      <c r="G1312" s="20"/>
      <c r="H1312" s="3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</row>
    <row r="1313" spans="1:34" ht="15.75" customHeight="1" x14ac:dyDescent="0.25">
      <c r="A1313" s="3"/>
      <c r="B1313" s="3"/>
      <c r="C1313" s="18"/>
      <c r="D1313" s="18"/>
      <c r="E1313" s="19"/>
      <c r="F1313" s="19"/>
      <c r="G1313" s="20"/>
      <c r="H1313" s="3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</row>
    <row r="1314" spans="1:34" ht="15.75" customHeight="1" x14ac:dyDescent="0.25">
      <c r="A1314" s="3"/>
      <c r="B1314" s="3"/>
      <c r="C1314" s="18"/>
      <c r="D1314" s="18"/>
      <c r="E1314" s="19"/>
      <c r="F1314" s="19"/>
      <c r="G1314" s="20"/>
      <c r="H1314" s="3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</row>
    <row r="1315" spans="1:34" ht="15.75" customHeight="1" x14ac:dyDescent="0.25">
      <c r="A1315" s="3"/>
      <c r="B1315" s="3"/>
      <c r="C1315" s="18"/>
      <c r="D1315" s="18"/>
      <c r="E1315" s="19"/>
      <c r="F1315" s="19"/>
      <c r="G1315" s="20"/>
      <c r="H1315" s="3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</row>
    <row r="1316" spans="1:34" ht="15.75" customHeight="1" x14ac:dyDescent="0.25">
      <c r="A1316" s="3"/>
      <c r="B1316" s="3"/>
      <c r="C1316" s="18"/>
      <c r="D1316" s="18"/>
      <c r="E1316" s="19"/>
      <c r="F1316" s="19"/>
      <c r="G1316" s="20"/>
      <c r="H1316" s="3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</row>
    <row r="1317" spans="1:34" ht="15.75" customHeight="1" x14ac:dyDescent="0.25">
      <c r="A1317" s="3"/>
      <c r="B1317" s="3"/>
      <c r="C1317" s="18"/>
      <c r="D1317" s="18"/>
      <c r="E1317" s="19"/>
      <c r="F1317" s="19"/>
      <c r="G1317" s="20"/>
      <c r="H1317" s="3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</row>
    <row r="1318" spans="1:34" ht="15.75" customHeight="1" x14ac:dyDescent="0.25">
      <c r="A1318" s="3"/>
      <c r="B1318" s="3"/>
      <c r="C1318" s="18"/>
      <c r="D1318" s="18"/>
      <c r="E1318" s="19"/>
      <c r="F1318" s="19"/>
      <c r="G1318" s="20"/>
      <c r="H1318" s="3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</row>
    <row r="1319" spans="1:34" ht="15.75" customHeight="1" x14ac:dyDescent="0.25">
      <c r="A1319" s="3"/>
      <c r="B1319" s="3"/>
      <c r="C1319" s="18"/>
      <c r="D1319" s="18"/>
      <c r="E1319" s="19"/>
      <c r="F1319" s="19"/>
      <c r="G1319" s="20"/>
      <c r="H1319" s="3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</row>
    <row r="1320" spans="1:34" ht="15.75" customHeight="1" x14ac:dyDescent="0.25">
      <c r="A1320" s="3"/>
      <c r="B1320" s="3"/>
      <c r="C1320" s="18"/>
      <c r="D1320" s="18"/>
      <c r="E1320" s="19"/>
      <c r="F1320" s="19"/>
      <c r="G1320" s="20"/>
      <c r="H1320" s="3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</row>
    <row r="1321" spans="1:34" ht="15.75" customHeight="1" x14ac:dyDescent="0.25">
      <c r="A1321" s="3"/>
      <c r="B1321" s="3"/>
      <c r="C1321" s="18"/>
      <c r="D1321" s="18"/>
      <c r="E1321" s="19"/>
      <c r="F1321" s="19"/>
      <c r="G1321" s="20"/>
      <c r="H1321" s="3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</row>
    <row r="1322" spans="1:34" ht="15.75" customHeight="1" x14ac:dyDescent="0.25">
      <c r="A1322" s="3"/>
      <c r="B1322" s="3"/>
      <c r="C1322" s="18"/>
      <c r="D1322" s="18"/>
      <c r="E1322" s="19"/>
      <c r="F1322" s="19"/>
      <c r="G1322" s="20"/>
      <c r="H1322" s="3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</row>
    <row r="1323" spans="1:34" ht="15.75" customHeight="1" x14ac:dyDescent="0.25">
      <c r="A1323" s="3"/>
      <c r="B1323" s="3"/>
      <c r="C1323" s="18"/>
      <c r="D1323" s="18"/>
      <c r="E1323" s="19"/>
      <c r="F1323" s="19"/>
      <c r="G1323" s="20"/>
      <c r="H1323" s="3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</row>
    <row r="1324" spans="1:34" ht="15.75" customHeight="1" x14ac:dyDescent="0.25">
      <c r="A1324" s="3"/>
      <c r="B1324" s="3"/>
      <c r="C1324" s="18"/>
      <c r="D1324" s="18"/>
      <c r="E1324" s="19"/>
      <c r="F1324" s="19"/>
      <c r="G1324" s="20"/>
      <c r="H1324" s="3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</row>
    <row r="1325" spans="1:34" ht="15.75" customHeight="1" x14ac:dyDescent="0.25">
      <c r="A1325" s="3"/>
      <c r="B1325" s="3"/>
      <c r="C1325" s="18"/>
      <c r="D1325" s="18"/>
      <c r="E1325" s="19"/>
      <c r="F1325" s="19"/>
      <c r="G1325" s="20"/>
      <c r="H1325" s="3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</row>
    <row r="1326" spans="1:34" ht="15.75" customHeight="1" x14ac:dyDescent="0.25">
      <c r="A1326" s="3"/>
      <c r="B1326" s="3"/>
      <c r="C1326" s="18"/>
      <c r="D1326" s="18"/>
      <c r="E1326" s="19"/>
      <c r="F1326" s="19"/>
      <c r="G1326" s="20"/>
      <c r="H1326" s="3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</row>
    <row r="1327" spans="1:34" ht="15.75" customHeight="1" x14ac:dyDescent="0.25">
      <c r="A1327" s="3"/>
      <c r="B1327" s="3"/>
      <c r="C1327" s="18"/>
      <c r="D1327" s="18"/>
      <c r="E1327" s="19"/>
      <c r="F1327" s="19"/>
      <c r="G1327" s="20"/>
      <c r="H1327" s="3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</row>
    <row r="1328" spans="1:34" ht="15.75" customHeight="1" x14ac:dyDescent="0.25">
      <c r="A1328" s="3"/>
      <c r="B1328" s="3"/>
      <c r="C1328" s="18"/>
      <c r="D1328" s="18"/>
      <c r="E1328" s="19"/>
      <c r="F1328" s="19"/>
      <c r="G1328" s="20"/>
      <c r="H1328" s="3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</row>
    <row r="1329" spans="1:34" ht="15.75" customHeight="1" x14ac:dyDescent="0.25">
      <c r="A1329" s="3"/>
      <c r="B1329" s="3"/>
      <c r="C1329" s="18"/>
      <c r="D1329" s="18"/>
      <c r="E1329" s="19"/>
      <c r="F1329" s="19"/>
      <c r="G1329" s="20"/>
      <c r="H1329" s="3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</row>
    <row r="1330" spans="1:34" ht="15.75" customHeight="1" x14ac:dyDescent="0.25">
      <c r="A1330" s="3"/>
      <c r="B1330" s="3"/>
      <c r="C1330" s="18"/>
      <c r="D1330" s="18"/>
      <c r="E1330" s="19"/>
      <c r="F1330" s="19"/>
      <c r="G1330" s="20"/>
      <c r="H1330" s="3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</row>
    <row r="1331" spans="1:34" ht="15.75" customHeight="1" x14ac:dyDescent="0.25">
      <c r="A1331" s="3"/>
      <c r="B1331" s="3"/>
      <c r="C1331" s="18"/>
      <c r="D1331" s="18"/>
      <c r="E1331" s="19"/>
      <c r="F1331" s="19"/>
      <c r="G1331" s="20"/>
      <c r="H1331" s="3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</row>
    <row r="1332" spans="1:34" ht="15.75" customHeight="1" x14ac:dyDescent="0.25">
      <c r="A1332" s="3"/>
      <c r="B1332" s="3"/>
      <c r="C1332" s="18"/>
      <c r="D1332" s="18"/>
      <c r="E1332" s="19"/>
      <c r="F1332" s="19"/>
      <c r="G1332" s="20"/>
      <c r="H1332" s="3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</row>
    <row r="1333" spans="1:34" ht="15.75" customHeight="1" x14ac:dyDescent="0.25">
      <c r="A1333" s="3"/>
      <c r="B1333" s="3"/>
      <c r="C1333" s="18"/>
      <c r="D1333" s="18"/>
      <c r="E1333" s="19"/>
      <c r="F1333" s="19"/>
      <c r="G1333" s="20"/>
      <c r="H1333" s="3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</row>
    <row r="1334" spans="1:34" ht="15.75" customHeight="1" x14ac:dyDescent="0.25">
      <c r="A1334" s="3"/>
      <c r="B1334" s="3"/>
      <c r="C1334" s="18"/>
      <c r="D1334" s="18"/>
      <c r="E1334" s="19"/>
      <c r="F1334" s="19"/>
      <c r="G1334" s="20"/>
      <c r="H1334" s="3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</row>
    <row r="1335" spans="1:34" ht="15.75" customHeight="1" x14ac:dyDescent="0.25">
      <c r="A1335" s="3"/>
      <c r="B1335" s="3"/>
      <c r="C1335" s="18"/>
      <c r="D1335" s="18"/>
      <c r="E1335" s="19"/>
      <c r="F1335" s="19"/>
      <c r="G1335" s="20"/>
      <c r="H1335" s="3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</row>
    <row r="1336" spans="1:34" ht="15.75" customHeight="1" x14ac:dyDescent="0.25">
      <c r="A1336" s="3"/>
      <c r="B1336" s="3"/>
      <c r="C1336" s="18"/>
      <c r="D1336" s="18"/>
      <c r="E1336" s="19"/>
      <c r="F1336" s="19"/>
      <c r="G1336" s="20"/>
      <c r="H1336" s="3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</row>
    <row r="1337" spans="1:34" ht="15.75" customHeight="1" x14ac:dyDescent="0.25">
      <c r="A1337" s="3"/>
      <c r="B1337" s="3"/>
      <c r="C1337" s="18"/>
      <c r="D1337" s="18"/>
      <c r="E1337" s="19"/>
      <c r="F1337" s="19"/>
      <c r="G1337" s="20"/>
      <c r="H1337" s="3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</row>
    <row r="1338" spans="1:34" ht="15.75" customHeight="1" x14ac:dyDescent="0.25">
      <c r="A1338" s="3"/>
      <c r="B1338" s="3"/>
      <c r="C1338" s="18"/>
      <c r="D1338" s="18"/>
      <c r="E1338" s="19"/>
      <c r="F1338" s="19"/>
      <c r="G1338" s="20"/>
      <c r="H1338" s="3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</row>
    <row r="1339" spans="1:34" ht="15.75" customHeight="1" x14ac:dyDescent="0.25">
      <c r="A1339" s="3"/>
      <c r="B1339" s="3"/>
      <c r="C1339" s="18"/>
      <c r="D1339" s="18"/>
      <c r="E1339" s="19"/>
      <c r="F1339" s="19"/>
      <c r="G1339" s="20"/>
      <c r="H1339" s="3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</row>
    <row r="1340" spans="1:34" ht="15.75" customHeight="1" x14ac:dyDescent="0.25">
      <c r="A1340" s="3"/>
      <c r="B1340" s="3"/>
      <c r="C1340" s="18"/>
      <c r="D1340" s="18"/>
      <c r="E1340" s="19"/>
      <c r="F1340" s="19"/>
      <c r="G1340" s="20"/>
      <c r="H1340" s="3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</row>
    <row r="1341" spans="1:34" ht="15.75" customHeight="1" x14ac:dyDescent="0.25">
      <c r="A1341" s="3"/>
      <c r="B1341" s="3"/>
      <c r="C1341" s="18"/>
      <c r="D1341" s="18"/>
      <c r="E1341" s="19"/>
      <c r="F1341" s="19"/>
      <c r="G1341" s="20"/>
      <c r="H1341" s="3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</row>
    <row r="1342" spans="1:34" ht="15.75" customHeight="1" x14ac:dyDescent="0.25">
      <c r="A1342" s="3"/>
      <c r="B1342" s="3"/>
      <c r="C1342" s="18"/>
      <c r="D1342" s="18"/>
      <c r="E1342" s="19"/>
      <c r="F1342" s="19"/>
      <c r="G1342" s="20"/>
      <c r="H1342" s="3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</row>
    <row r="1343" spans="1:34" ht="15.75" customHeight="1" x14ac:dyDescent="0.25">
      <c r="A1343" s="3"/>
      <c r="B1343" s="3"/>
      <c r="C1343" s="18"/>
      <c r="D1343" s="18"/>
      <c r="E1343" s="19"/>
      <c r="F1343" s="19"/>
      <c r="G1343" s="20"/>
      <c r="H1343" s="3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</row>
    <row r="1344" spans="1:34" ht="15.75" customHeight="1" x14ac:dyDescent="0.25">
      <c r="A1344" s="3"/>
      <c r="B1344" s="3"/>
      <c r="C1344" s="18"/>
      <c r="D1344" s="18"/>
      <c r="E1344" s="19"/>
      <c r="F1344" s="19"/>
      <c r="G1344" s="20"/>
      <c r="H1344" s="3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</row>
    <row r="1345" spans="1:34" ht="15.75" customHeight="1" x14ac:dyDescent="0.25">
      <c r="A1345" s="3"/>
      <c r="B1345" s="3"/>
      <c r="C1345" s="18"/>
      <c r="D1345" s="18"/>
      <c r="E1345" s="19"/>
      <c r="F1345" s="19"/>
      <c r="G1345" s="20"/>
      <c r="H1345" s="3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</row>
    <row r="1346" spans="1:34" ht="15.75" customHeight="1" x14ac:dyDescent="0.25">
      <c r="A1346" s="3"/>
      <c r="B1346" s="3"/>
      <c r="C1346" s="18"/>
      <c r="D1346" s="18"/>
      <c r="E1346" s="19"/>
      <c r="F1346" s="19"/>
      <c r="G1346" s="20"/>
      <c r="H1346" s="3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</row>
    <row r="1347" spans="1:34" ht="15.75" customHeight="1" x14ac:dyDescent="0.25">
      <c r="A1347" s="3"/>
      <c r="B1347" s="3"/>
      <c r="C1347" s="18"/>
      <c r="D1347" s="18"/>
      <c r="E1347" s="19"/>
      <c r="F1347" s="19"/>
      <c r="G1347" s="20"/>
      <c r="H1347" s="3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</row>
    <row r="1348" spans="1:34" ht="15.75" customHeight="1" x14ac:dyDescent="0.25">
      <c r="A1348" s="3"/>
      <c r="B1348" s="3"/>
      <c r="C1348" s="18"/>
      <c r="D1348" s="18"/>
      <c r="E1348" s="19"/>
      <c r="F1348" s="19"/>
      <c r="G1348" s="20"/>
      <c r="H1348" s="3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</row>
    <row r="1349" spans="1:34" ht="15.75" customHeight="1" x14ac:dyDescent="0.25">
      <c r="A1349" s="3"/>
      <c r="B1349" s="3"/>
      <c r="C1349" s="18"/>
      <c r="D1349" s="18"/>
      <c r="E1349" s="19"/>
      <c r="F1349" s="19"/>
      <c r="G1349" s="20"/>
      <c r="H1349" s="3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</row>
    <row r="1350" spans="1:34" ht="15.75" customHeight="1" x14ac:dyDescent="0.25">
      <c r="A1350" s="3"/>
      <c r="B1350" s="3"/>
      <c r="C1350" s="18"/>
      <c r="D1350" s="18"/>
      <c r="E1350" s="19"/>
      <c r="F1350" s="19"/>
      <c r="G1350" s="20"/>
      <c r="H1350" s="3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</row>
    <row r="1351" spans="1:34" ht="15.75" customHeight="1" x14ac:dyDescent="0.25">
      <c r="A1351" s="3"/>
      <c r="B1351" s="3"/>
      <c r="C1351" s="18"/>
      <c r="D1351" s="18"/>
      <c r="E1351" s="19"/>
      <c r="F1351" s="19"/>
      <c r="G1351" s="20"/>
      <c r="H1351" s="3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</row>
    <row r="1352" spans="1:34" ht="15.75" customHeight="1" x14ac:dyDescent="0.25">
      <c r="A1352" s="3"/>
      <c r="B1352" s="3"/>
      <c r="C1352" s="18"/>
      <c r="D1352" s="18"/>
      <c r="E1352" s="19"/>
      <c r="F1352" s="19"/>
      <c r="G1352" s="20"/>
      <c r="H1352" s="3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</row>
    <row r="1353" spans="1:34" ht="15.75" customHeight="1" x14ac:dyDescent="0.25">
      <c r="A1353" s="3"/>
      <c r="B1353" s="3"/>
      <c r="C1353" s="18"/>
      <c r="D1353" s="18"/>
      <c r="E1353" s="19"/>
      <c r="F1353" s="19"/>
      <c r="G1353" s="20"/>
      <c r="H1353" s="3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</row>
    <row r="1354" spans="1:34" ht="15.75" customHeight="1" x14ac:dyDescent="0.25">
      <c r="A1354" s="3"/>
      <c r="B1354" s="3"/>
      <c r="C1354" s="18"/>
      <c r="D1354" s="18"/>
      <c r="E1354" s="19"/>
      <c r="F1354" s="19"/>
      <c r="G1354" s="20"/>
      <c r="H1354" s="3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</row>
    <row r="1355" spans="1:34" ht="15.75" customHeight="1" x14ac:dyDescent="0.25">
      <c r="A1355" s="3"/>
      <c r="B1355" s="3"/>
      <c r="C1355" s="18"/>
      <c r="D1355" s="18"/>
      <c r="E1355" s="19"/>
      <c r="F1355" s="19"/>
      <c r="G1355" s="20"/>
      <c r="H1355" s="3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</row>
    <row r="1356" spans="1:34" ht="15.75" customHeight="1" x14ac:dyDescent="0.25">
      <c r="A1356" s="3"/>
      <c r="B1356" s="3"/>
      <c r="C1356" s="18"/>
      <c r="D1356" s="18"/>
      <c r="E1356" s="19"/>
      <c r="F1356" s="19"/>
      <c r="G1356" s="20"/>
      <c r="H1356" s="3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</row>
    <row r="1357" spans="1:34" ht="15.75" customHeight="1" x14ac:dyDescent="0.25">
      <c r="A1357" s="3"/>
      <c r="B1357" s="3"/>
      <c r="C1357" s="18"/>
      <c r="D1357" s="18"/>
      <c r="E1357" s="19"/>
      <c r="F1357" s="19"/>
      <c r="G1357" s="20"/>
      <c r="H1357" s="3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</row>
    <row r="1358" spans="1:34" ht="15.75" customHeight="1" x14ac:dyDescent="0.25">
      <c r="A1358" s="3"/>
      <c r="B1358" s="3"/>
      <c r="C1358" s="18"/>
      <c r="D1358" s="18"/>
      <c r="E1358" s="19"/>
      <c r="F1358" s="19"/>
      <c r="G1358" s="20"/>
      <c r="H1358" s="3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</row>
    <row r="1359" spans="1:34" ht="15.75" customHeight="1" x14ac:dyDescent="0.25">
      <c r="A1359" s="3"/>
      <c r="B1359" s="3"/>
      <c r="C1359" s="18"/>
      <c r="D1359" s="18"/>
      <c r="E1359" s="19"/>
      <c r="F1359" s="19"/>
      <c r="G1359" s="20"/>
      <c r="H1359" s="3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</row>
    <row r="1360" spans="1:34" ht="15.75" customHeight="1" x14ac:dyDescent="0.25">
      <c r="A1360" s="3"/>
      <c r="B1360" s="3"/>
      <c r="C1360" s="18"/>
      <c r="D1360" s="18"/>
      <c r="E1360" s="19"/>
      <c r="F1360" s="19"/>
      <c r="G1360" s="20"/>
      <c r="H1360" s="3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</row>
    <row r="1361" spans="1:34" ht="15.75" customHeight="1" x14ac:dyDescent="0.25">
      <c r="A1361" s="3"/>
      <c r="B1361" s="3"/>
      <c r="C1361" s="18"/>
      <c r="D1361" s="18"/>
      <c r="E1361" s="19"/>
      <c r="F1361" s="19"/>
      <c r="G1361" s="20"/>
      <c r="H1361" s="3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</row>
    <row r="1362" spans="1:34" ht="15.75" customHeight="1" x14ac:dyDescent="0.25">
      <c r="A1362" s="3"/>
      <c r="B1362" s="3"/>
      <c r="C1362" s="18"/>
      <c r="D1362" s="18"/>
      <c r="E1362" s="19"/>
      <c r="F1362" s="19"/>
      <c r="G1362" s="20"/>
      <c r="H1362" s="3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</row>
    <row r="1363" spans="1:34" ht="15.75" customHeight="1" x14ac:dyDescent="0.25">
      <c r="A1363" s="3"/>
      <c r="B1363" s="3"/>
      <c r="C1363" s="18"/>
      <c r="D1363" s="18"/>
      <c r="E1363" s="19"/>
      <c r="F1363" s="19"/>
      <c r="G1363" s="20"/>
      <c r="H1363" s="3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</row>
    <row r="1364" spans="1:34" ht="15.75" customHeight="1" x14ac:dyDescent="0.25">
      <c r="A1364" s="3"/>
      <c r="B1364" s="3"/>
      <c r="C1364" s="18"/>
      <c r="D1364" s="18"/>
      <c r="E1364" s="19"/>
      <c r="F1364" s="19"/>
      <c r="G1364" s="20"/>
      <c r="H1364" s="3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</row>
    <row r="1365" spans="1:34" ht="15.75" customHeight="1" x14ac:dyDescent="0.25">
      <c r="A1365" s="3"/>
      <c r="B1365" s="3"/>
      <c r="C1365" s="18"/>
      <c r="D1365" s="18"/>
      <c r="E1365" s="19"/>
      <c r="F1365" s="19"/>
      <c r="G1365" s="20"/>
      <c r="H1365" s="3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</row>
    <row r="1366" spans="1:34" ht="15.75" customHeight="1" x14ac:dyDescent="0.25">
      <c r="A1366" s="3"/>
      <c r="B1366" s="3"/>
      <c r="C1366" s="18"/>
      <c r="D1366" s="18"/>
      <c r="E1366" s="19"/>
      <c r="F1366" s="19"/>
      <c r="G1366" s="20"/>
      <c r="H1366" s="3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</row>
    <row r="1367" spans="1:34" ht="15.75" customHeight="1" x14ac:dyDescent="0.25">
      <c r="A1367" s="3"/>
      <c r="B1367" s="3"/>
      <c r="C1367" s="18"/>
      <c r="D1367" s="18"/>
      <c r="E1367" s="19"/>
      <c r="F1367" s="19"/>
      <c r="G1367" s="20"/>
      <c r="H1367" s="3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</row>
    <row r="1368" spans="1:34" ht="15.75" customHeight="1" x14ac:dyDescent="0.25">
      <c r="A1368" s="3"/>
      <c r="B1368" s="3"/>
      <c r="C1368" s="18"/>
      <c r="D1368" s="18"/>
      <c r="E1368" s="19"/>
      <c r="F1368" s="19"/>
      <c r="G1368" s="20"/>
      <c r="H1368" s="3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</row>
    <row r="1369" spans="1:34" ht="15.75" customHeight="1" x14ac:dyDescent="0.25">
      <c r="A1369" s="3"/>
      <c r="B1369" s="3"/>
      <c r="C1369" s="18"/>
      <c r="D1369" s="18"/>
      <c r="E1369" s="19"/>
      <c r="F1369" s="19"/>
      <c r="G1369" s="20"/>
      <c r="H1369" s="3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</row>
    <row r="1370" spans="1:34" ht="15.75" customHeight="1" x14ac:dyDescent="0.25">
      <c r="A1370" s="3"/>
      <c r="B1370" s="3"/>
      <c r="C1370" s="18"/>
      <c r="D1370" s="18"/>
      <c r="E1370" s="19"/>
      <c r="F1370" s="19"/>
      <c r="G1370" s="20"/>
      <c r="H1370" s="3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</row>
    <row r="1371" spans="1:34" ht="15.75" customHeight="1" x14ac:dyDescent="0.25">
      <c r="A1371" s="3"/>
      <c r="B1371" s="3"/>
      <c r="C1371" s="18"/>
      <c r="D1371" s="18"/>
      <c r="E1371" s="19"/>
      <c r="F1371" s="19"/>
      <c r="G1371" s="20"/>
      <c r="H1371" s="3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</row>
    <row r="1372" spans="1:34" ht="15.75" customHeight="1" x14ac:dyDescent="0.25">
      <c r="A1372" s="3"/>
      <c r="B1372" s="3"/>
      <c r="C1372" s="18"/>
      <c r="D1372" s="18"/>
      <c r="E1372" s="19"/>
      <c r="F1372" s="19"/>
      <c r="G1372" s="20"/>
      <c r="H1372" s="3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</row>
    <row r="1373" spans="1:34" ht="15.75" customHeight="1" x14ac:dyDescent="0.25">
      <c r="A1373" s="3"/>
      <c r="B1373" s="3"/>
      <c r="C1373" s="18"/>
      <c r="D1373" s="18"/>
      <c r="E1373" s="19"/>
      <c r="F1373" s="19"/>
      <c r="G1373" s="20"/>
      <c r="H1373" s="3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</row>
    <row r="1374" spans="1:34" ht="15.75" customHeight="1" x14ac:dyDescent="0.25">
      <c r="A1374" s="3"/>
      <c r="B1374" s="3"/>
      <c r="C1374" s="18"/>
      <c r="D1374" s="18"/>
      <c r="E1374" s="19"/>
      <c r="F1374" s="19"/>
      <c r="G1374" s="20"/>
      <c r="H1374" s="3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</row>
    <row r="1375" spans="1:34" ht="15.75" customHeight="1" x14ac:dyDescent="0.25">
      <c r="A1375" s="3"/>
      <c r="B1375" s="3"/>
      <c r="C1375" s="18"/>
      <c r="D1375" s="18"/>
      <c r="E1375" s="19"/>
      <c r="F1375" s="19"/>
      <c r="G1375" s="20"/>
      <c r="H1375" s="3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</row>
    <row r="1376" spans="1:34" ht="15.75" customHeight="1" x14ac:dyDescent="0.25">
      <c r="A1376" s="3"/>
      <c r="B1376" s="3"/>
      <c r="C1376" s="18"/>
      <c r="D1376" s="18"/>
      <c r="E1376" s="19"/>
      <c r="F1376" s="19"/>
      <c r="G1376" s="20"/>
      <c r="H1376" s="3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</row>
    <row r="1377" spans="1:34" ht="15.75" customHeight="1" x14ac:dyDescent="0.25">
      <c r="A1377" s="3"/>
      <c r="B1377" s="3"/>
      <c r="C1377" s="18"/>
      <c r="D1377" s="18"/>
      <c r="E1377" s="19"/>
      <c r="F1377" s="19"/>
      <c r="G1377" s="20"/>
      <c r="H1377" s="3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</row>
    <row r="1378" spans="1:34" ht="15.75" customHeight="1" x14ac:dyDescent="0.25">
      <c r="A1378" s="3"/>
      <c r="B1378" s="3"/>
      <c r="C1378" s="18"/>
      <c r="D1378" s="18"/>
      <c r="E1378" s="19"/>
      <c r="F1378" s="19"/>
      <c r="G1378" s="20"/>
      <c r="H1378" s="3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</row>
    <row r="1379" spans="1:34" ht="15.75" customHeight="1" x14ac:dyDescent="0.25">
      <c r="A1379" s="3"/>
      <c r="B1379" s="3"/>
      <c r="C1379" s="18"/>
      <c r="D1379" s="18"/>
      <c r="E1379" s="19"/>
      <c r="F1379" s="19"/>
      <c r="G1379" s="20"/>
      <c r="H1379" s="3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</row>
    <row r="1380" spans="1:34" ht="15.75" customHeight="1" x14ac:dyDescent="0.25">
      <c r="A1380" s="3"/>
      <c r="B1380" s="3"/>
      <c r="C1380" s="18"/>
      <c r="D1380" s="18"/>
      <c r="E1380" s="19"/>
      <c r="F1380" s="19"/>
      <c r="G1380" s="20"/>
      <c r="H1380" s="3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</row>
    <row r="1381" spans="1:34" ht="15.75" customHeight="1" x14ac:dyDescent="0.25">
      <c r="A1381" s="3"/>
      <c r="B1381" s="3"/>
      <c r="C1381" s="18"/>
      <c r="D1381" s="18"/>
      <c r="E1381" s="19"/>
      <c r="F1381" s="19"/>
      <c r="G1381" s="20"/>
      <c r="H1381" s="3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</row>
    <row r="1382" spans="1:34" ht="15.75" customHeight="1" x14ac:dyDescent="0.25">
      <c r="A1382" s="3"/>
      <c r="B1382" s="3"/>
      <c r="C1382" s="18"/>
      <c r="D1382" s="18"/>
      <c r="E1382" s="19"/>
      <c r="F1382" s="19"/>
      <c r="G1382" s="20"/>
      <c r="H1382" s="3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</row>
    <row r="1383" spans="1:34" ht="15.75" customHeight="1" x14ac:dyDescent="0.25">
      <c r="A1383" s="3"/>
      <c r="B1383" s="3"/>
      <c r="C1383" s="18"/>
      <c r="D1383" s="18"/>
      <c r="E1383" s="19"/>
      <c r="F1383" s="19"/>
      <c r="G1383" s="20"/>
      <c r="H1383" s="3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</row>
    <row r="1384" spans="1:34" ht="15.75" customHeight="1" x14ac:dyDescent="0.25">
      <c r="A1384" s="3"/>
      <c r="B1384" s="3"/>
      <c r="C1384" s="18"/>
      <c r="D1384" s="18"/>
      <c r="E1384" s="19"/>
      <c r="F1384" s="19"/>
      <c r="G1384" s="20"/>
      <c r="H1384" s="3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</row>
    <row r="1385" spans="1:34" ht="15.75" customHeight="1" x14ac:dyDescent="0.25">
      <c r="A1385" s="3"/>
      <c r="B1385" s="3"/>
      <c r="C1385" s="18"/>
      <c r="D1385" s="18"/>
      <c r="E1385" s="19"/>
      <c r="F1385" s="19"/>
      <c r="G1385" s="20"/>
      <c r="H1385" s="3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</row>
    <row r="1386" spans="1:34" ht="15.75" customHeight="1" x14ac:dyDescent="0.25">
      <c r="A1386" s="3"/>
      <c r="B1386" s="3"/>
      <c r="C1386" s="18"/>
      <c r="D1386" s="18"/>
      <c r="E1386" s="19"/>
      <c r="F1386" s="19"/>
      <c r="G1386" s="20"/>
      <c r="H1386" s="3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</row>
    <row r="1387" spans="1:34" ht="15.75" customHeight="1" x14ac:dyDescent="0.25">
      <c r="A1387" s="3"/>
      <c r="B1387" s="3"/>
      <c r="C1387" s="18"/>
      <c r="D1387" s="18"/>
      <c r="E1387" s="19"/>
      <c r="F1387" s="19"/>
      <c r="G1387" s="20"/>
      <c r="H1387" s="3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</row>
    <row r="1388" spans="1:34" ht="15.75" customHeight="1" x14ac:dyDescent="0.25">
      <c r="A1388" s="3"/>
      <c r="B1388" s="3"/>
      <c r="C1388" s="18"/>
      <c r="D1388" s="18"/>
      <c r="E1388" s="19"/>
      <c r="F1388" s="19"/>
      <c r="G1388" s="20"/>
      <c r="H1388" s="3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</row>
    <row r="1389" spans="1:34" ht="15.75" customHeight="1" x14ac:dyDescent="0.25">
      <c r="A1389" s="3"/>
      <c r="B1389" s="3"/>
      <c r="C1389" s="18"/>
      <c r="D1389" s="18"/>
      <c r="E1389" s="19"/>
      <c r="F1389" s="19"/>
      <c r="G1389" s="20"/>
      <c r="H1389" s="3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</row>
    <row r="1390" spans="1:34" ht="15.75" customHeight="1" x14ac:dyDescent="0.25">
      <c r="A1390" s="3"/>
      <c r="B1390" s="3"/>
      <c r="C1390" s="18"/>
      <c r="D1390" s="18"/>
      <c r="E1390" s="19"/>
      <c r="F1390" s="19"/>
      <c r="G1390" s="20"/>
      <c r="H1390" s="3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</row>
    <row r="1391" spans="1:34" ht="15.75" customHeight="1" x14ac:dyDescent="0.25">
      <c r="A1391" s="3"/>
      <c r="B1391" s="3"/>
      <c r="C1391" s="18"/>
      <c r="D1391" s="18"/>
      <c r="E1391" s="19"/>
      <c r="F1391" s="19"/>
      <c r="G1391" s="20"/>
      <c r="H1391" s="3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</row>
    <row r="1392" spans="1:34" ht="15.75" customHeight="1" x14ac:dyDescent="0.25">
      <c r="A1392" s="3"/>
      <c r="B1392" s="3"/>
      <c r="C1392" s="18"/>
      <c r="D1392" s="18"/>
      <c r="E1392" s="19"/>
      <c r="F1392" s="19"/>
      <c r="G1392" s="20"/>
      <c r="H1392" s="3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</row>
    <row r="1393" spans="1:34" ht="15.75" customHeight="1" x14ac:dyDescent="0.25">
      <c r="A1393" s="3"/>
      <c r="B1393" s="3"/>
      <c r="C1393" s="18"/>
      <c r="D1393" s="18"/>
      <c r="E1393" s="19"/>
      <c r="F1393" s="19"/>
      <c r="G1393" s="20"/>
      <c r="H1393" s="3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</row>
    <row r="1394" spans="1:34" ht="15.75" customHeight="1" x14ac:dyDescent="0.25">
      <c r="A1394" s="3"/>
      <c r="B1394" s="3"/>
      <c r="C1394" s="18"/>
      <c r="D1394" s="18"/>
      <c r="E1394" s="19"/>
      <c r="F1394" s="19"/>
      <c r="G1394" s="20"/>
      <c r="H1394" s="3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</row>
    <row r="1395" spans="1:34" ht="15.75" customHeight="1" x14ac:dyDescent="0.25">
      <c r="A1395" s="3"/>
      <c r="B1395" s="3"/>
      <c r="C1395" s="18"/>
      <c r="D1395" s="18"/>
      <c r="E1395" s="19"/>
      <c r="F1395" s="19"/>
      <c r="G1395" s="20"/>
      <c r="H1395" s="3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</row>
    <row r="1396" spans="1:34" ht="15.75" customHeight="1" x14ac:dyDescent="0.25">
      <c r="A1396" s="3"/>
      <c r="B1396" s="3"/>
      <c r="C1396" s="18"/>
      <c r="D1396" s="18"/>
      <c r="E1396" s="19"/>
      <c r="F1396" s="19"/>
      <c r="G1396" s="20"/>
      <c r="H1396" s="3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</row>
    <row r="1397" spans="1:34" ht="15.75" customHeight="1" x14ac:dyDescent="0.25">
      <c r="A1397" s="3"/>
      <c r="B1397" s="3"/>
      <c r="C1397" s="18"/>
      <c r="D1397" s="18"/>
      <c r="E1397" s="19"/>
      <c r="F1397" s="19"/>
      <c r="G1397" s="20"/>
      <c r="H1397" s="3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</row>
    <row r="1398" spans="1:34" ht="15.75" customHeight="1" x14ac:dyDescent="0.25">
      <c r="A1398" s="3"/>
      <c r="B1398" s="3"/>
      <c r="C1398" s="18"/>
      <c r="D1398" s="18"/>
      <c r="E1398" s="19"/>
      <c r="F1398" s="19"/>
      <c r="G1398" s="20"/>
      <c r="H1398" s="3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</row>
    <row r="1399" spans="1:34" ht="15.75" customHeight="1" x14ac:dyDescent="0.25">
      <c r="A1399" s="3"/>
      <c r="B1399" s="3"/>
      <c r="C1399" s="18"/>
      <c r="D1399" s="18"/>
      <c r="E1399" s="19"/>
      <c r="F1399" s="19"/>
      <c r="G1399" s="20"/>
      <c r="H1399" s="3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</row>
    <row r="1400" spans="1:34" ht="15.75" customHeight="1" x14ac:dyDescent="0.25">
      <c r="A1400" s="3"/>
      <c r="B1400" s="3"/>
      <c r="C1400" s="18"/>
      <c r="D1400" s="18"/>
      <c r="E1400" s="19"/>
      <c r="F1400" s="19"/>
      <c r="G1400" s="20"/>
      <c r="H1400" s="3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</row>
    <row r="1401" spans="1:34" ht="15.75" customHeight="1" x14ac:dyDescent="0.25">
      <c r="A1401" s="3"/>
      <c r="B1401" s="3"/>
      <c r="C1401" s="18"/>
      <c r="D1401" s="18"/>
      <c r="E1401" s="19"/>
      <c r="F1401" s="19"/>
      <c r="G1401" s="20"/>
      <c r="H1401" s="3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</row>
    <row r="1402" spans="1:34" ht="15.75" customHeight="1" x14ac:dyDescent="0.25">
      <c r="A1402" s="3"/>
      <c r="B1402" s="3"/>
      <c r="C1402" s="18"/>
      <c r="D1402" s="18"/>
      <c r="E1402" s="19"/>
      <c r="F1402" s="19"/>
      <c r="G1402" s="20"/>
      <c r="H1402" s="3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</row>
    <row r="1403" spans="1:34" ht="15.75" customHeight="1" x14ac:dyDescent="0.25">
      <c r="A1403" s="3"/>
      <c r="B1403" s="3"/>
      <c r="C1403" s="18"/>
      <c r="D1403" s="18"/>
      <c r="E1403" s="19"/>
      <c r="F1403" s="19"/>
      <c r="G1403" s="20"/>
      <c r="H1403" s="3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</row>
    <row r="1404" spans="1:34" ht="15.75" customHeight="1" x14ac:dyDescent="0.25">
      <c r="A1404" s="3"/>
      <c r="B1404" s="3"/>
      <c r="C1404" s="18"/>
      <c r="D1404" s="18"/>
      <c r="E1404" s="19"/>
      <c r="F1404" s="19"/>
      <c r="G1404" s="20"/>
      <c r="H1404" s="3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</row>
    <row r="1405" spans="1:34" ht="15.75" customHeight="1" x14ac:dyDescent="0.25">
      <c r="A1405" s="3"/>
      <c r="B1405" s="3"/>
      <c r="C1405" s="18"/>
      <c r="D1405" s="18"/>
      <c r="E1405" s="19"/>
      <c r="F1405" s="19"/>
      <c r="G1405" s="20"/>
      <c r="H1405" s="3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</row>
    <row r="1406" spans="1:34" ht="15.75" customHeight="1" x14ac:dyDescent="0.25">
      <c r="A1406" s="3"/>
      <c r="B1406" s="3"/>
      <c r="C1406" s="18"/>
      <c r="D1406" s="18"/>
      <c r="E1406" s="19"/>
      <c r="F1406" s="19"/>
      <c r="G1406" s="20"/>
      <c r="H1406" s="3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</row>
    <row r="1407" spans="1:34" ht="15.75" customHeight="1" x14ac:dyDescent="0.25">
      <c r="A1407" s="3"/>
      <c r="B1407" s="3"/>
      <c r="C1407" s="18"/>
      <c r="D1407" s="18"/>
      <c r="E1407" s="19"/>
      <c r="F1407" s="19"/>
      <c r="G1407" s="20"/>
      <c r="H1407" s="3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</row>
    <row r="1408" spans="1:34" ht="15.75" customHeight="1" x14ac:dyDescent="0.25">
      <c r="A1408" s="3"/>
      <c r="B1408" s="3"/>
      <c r="C1408" s="18"/>
      <c r="D1408" s="18"/>
      <c r="E1408" s="19"/>
      <c r="F1408" s="19"/>
      <c r="G1408" s="20"/>
      <c r="H1408" s="3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</row>
    <row r="1409" spans="1:34" ht="15.75" customHeight="1" x14ac:dyDescent="0.25">
      <c r="A1409" s="3"/>
      <c r="B1409" s="3"/>
      <c r="C1409" s="18"/>
      <c r="D1409" s="18"/>
      <c r="E1409" s="19"/>
      <c r="F1409" s="19"/>
      <c r="G1409" s="20"/>
      <c r="H1409" s="3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</row>
    <row r="1410" spans="1:34" ht="15.75" customHeight="1" x14ac:dyDescent="0.25">
      <c r="A1410" s="3"/>
      <c r="B1410" s="3"/>
      <c r="C1410" s="18"/>
      <c r="D1410" s="18"/>
      <c r="E1410" s="19"/>
      <c r="F1410" s="19"/>
      <c r="G1410" s="20"/>
      <c r="H1410" s="3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</row>
    <row r="1411" spans="1:34" ht="15.75" customHeight="1" x14ac:dyDescent="0.25">
      <c r="A1411" s="3"/>
      <c r="B1411" s="3"/>
      <c r="C1411" s="18"/>
      <c r="D1411" s="18"/>
      <c r="E1411" s="19"/>
      <c r="F1411" s="19"/>
      <c r="G1411" s="20"/>
      <c r="H1411" s="3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</row>
    <row r="1412" spans="1:34" ht="15.75" customHeight="1" x14ac:dyDescent="0.25">
      <c r="A1412" s="3"/>
      <c r="B1412" s="3"/>
      <c r="C1412" s="18"/>
      <c r="D1412" s="18"/>
      <c r="E1412" s="19"/>
      <c r="F1412" s="19"/>
      <c r="G1412" s="20"/>
      <c r="H1412" s="3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</row>
    <row r="1413" spans="1:34" ht="15.75" customHeight="1" x14ac:dyDescent="0.25">
      <c r="A1413" s="3"/>
      <c r="B1413" s="3"/>
      <c r="C1413" s="18"/>
      <c r="D1413" s="18"/>
      <c r="E1413" s="19"/>
      <c r="F1413" s="19"/>
      <c r="G1413" s="20"/>
      <c r="H1413" s="3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</row>
    <row r="1414" spans="1:34" ht="15.75" customHeight="1" x14ac:dyDescent="0.25">
      <c r="A1414" s="3"/>
      <c r="B1414" s="3"/>
      <c r="C1414" s="18"/>
      <c r="D1414" s="18"/>
      <c r="E1414" s="19"/>
      <c r="F1414" s="19"/>
      <c r="G1414" s="20"/>
      <c r="H1414" s="3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</row>
    <row r="1415" spans="1:34" ht="15.75" customHeight="1" x14ac:dyDescent="0.25">
      <c r="A1415" s="3"/>
      <c r="B1415" s="3"/>
      <c r="C1415" s="18"/>
      <c r="D1415" s="18"/>
      <c r="E1415" s="19"/>
      <c r="F1415" s="19"/>
      <c r="G1415" s="20"/>
      <c r="H1415" s="3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</row>
    <row r="1416" spans="1:34" ht="15.75" customHeight="1" x14ac:dyDescent="0.25">
      <c r="A1416" s="3"/>
      <c r="B1416" s="3"/>
      <c r="C1416" s="18"/>
      <c r="D1416" s="18"/>
      <c r="E1416" s="19"/>
      <c r="F1416" s="19"/>
      <c r="G1416" s="20"/>
      <c r="H1416" s="3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</row>
    <row r="1417" spans="1:34" ht="15.75" customHeight="1" x14ac:dyDescent="0.25">
      <c r="A1417" s="3"/>
      <c r="B1417" s="3"/>
      <c r="C1417" s="18"/>
      <c r="D1417" s="18"/>
      <c r="E1417" s="19"/>
      <c r="F1417" s="19"/>
      <c r="G1417" s="20"/>
      <c r="H1417" s="3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</row>
    <row r="1418" spans="1:34" ht="15.75" customHeight="1" x14ac:dyDescent="0.25">
      <c r="A1418" s="3"/>
      <c r="B1418" s="3"/>
      <c r="C1418" s="18"/>
      <c r="D1418" s="18"/>
      <c r="E1418" s="19"/>
      <c r="F1418" s="19"/>
      <c r="G1418" s="20"/>
      <c r="H1418" s="3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</row>
    <row r="1419" spans="1:34" ht="15.75" customHeight="1" x14ac:dyDescent="0.25">
      <c r="A1419" s="3"/>
      <c r="B1419" s="3"/>
      <c r="C1419" s="18"/>
      <c r="D1419" s="18"/>
      <c r="E1419" s="19"/>
      <c r="F1419" s="19"/>
      <c r="G1419" s="20"/>
      <c r="H1419" s="3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</row>
    <row r="1420" spans="1:34" ht="15.75" customHeight="1" x14ac:dyDescent="0.25">
      <c r="A1420" s="3"/>
      <c r="B1420" s="3"/>
      <c r="C1420" s="18"/>
      <c r="D1420" s="18"/>
      <c r="E1420" s="19"/>
      <c r="F1420" s="19"/>
      <c r="G1420" s="20"/>
      <c r="H1420" s="3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</row>
    <row r="1421" spans="1:34" ht="15.75" customHeight="1" x14ac:dyDescent="0.25">
      <c r="A1421" s="3"/>
      <c r="B1421" s="3"/>
      <c r="C1421" s="18"/>
      <c r="D1421" s="18"/>
      <c r="E1421" s="19"/>
      <c r="F1421" s="19"/>
      <c r="G1421" s="20"/>
      <c r="H1421" s="3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</row>
    <row r="1422" spans="1:34" ht="15.75" customHeight="1" x14ac:dyDescent="0.25">
      <c r="A1422" s="3"/>
      <c r="B1422" s="3"/>
      <c r="C1422" s="18"/>
      <c r="D1422" s="18"/>
      <c r="E1422" s="19"/>
      <c r="F1422" s="19"/>
      <c r="G1422" s="20"/>
      <c r="H1422" s="3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</row>
    <row r="1423" spans="1:34" ht="15.75" customHeight="1" x14ac:dyDescent="0.25">
      <c r="A1423" s="3"/>
      <c r="B1423" s="3"/>
      <c r="C1423" s="18"/>
      <c r="D1423" s="18"/>
      <c r="E1423" s="19"/>
      <c r="F1423" s="19"/>
      <c r="G1423" s="20"/>
      <c r="H1423" s="3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</row>
    <row r="1424" spans="1:34" ht="15.75" customHeight="1" x14ac:dyDescent="0.25">
      <c r="A1424" s="3"/>
      <c r="B1424" s="3"/>
      <c r="C1424" s="18"/>
      <c r="D1424" s="18"/>
      <c r="E1424" s="19"/>
      <c r="F1424" s="19"/>
      <c r="G1424" s="20"/>
      <c r="H1424" s="3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</row>
    <row r="1425" spans="1:34" ht="15.75" customHeight="1" x14ac:dyDescent="0.25">
      <c r="A1425" s="3"/>
      <c r="B1425" s="3"/>
      <c r="C1425" s="18"/>
      <c r="D1425" s="18"/>
      <c r="E1425" s="19"/>
      <c r="F1425" s="19"/>
      <c r="G1425" s="20"/>
      <c r="H1425" s="3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</row>
    <row r="1426" spans="1:34" ht="15.75" customHeight="1" x14ac:dyDescent="0.25">
      <c r="A1426" s="3"/>
      <c r="B1426" s="3"/>
      <c r="C1426" s="18"/>
      <c r="D1426" s="18"/>
      <c r="E1426" s="19"/>
      <c r="F1426" s="19"/>
      <c r="G1426" s="20"/>
      <c r="H1426" s="3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</row>
    <row r="1427" spans="1:34" ht="15.75" customHeight="1" x14ac:dyDescent="0.25">
      <c r="A1427" s="3"/>
      <c r="B1427" s="3"/>
      <c r="C1427" s="18"/>
      <c r="D1427" s="18"/>
      <c r="E1427" s="19"/>
      <c r="F1427" s="19"/>
      <c r="G1427" s="20"/>
      <c r="H1427" s="3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</row>
    <row r="1428" spans="1:34" ht="15.75" customHeight="1" x14ac:dyDescent="0.25">
      <c r="A1428" s="3"/>
      <c r="B1428" s="3"/>
      <c r="C1428" s="18"/>
      <c r="D1428" s="18"/>
      <c r="E1428" s="19"/>
      <c r="F1428" s="19"/>
      <c r="G1428" s="20"/>
      <c r="H1428" s="3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</row>
    <row r="1429" spans="1:34" ht="15.75" customHeight="1" x14ac:dyDescent="0.25">
      <c r="A1429" s="3"/>
      <c r="B1429" s="3"/>
      <c r="C1429" s="18"/>
      <c r="D1429" s="18"/>
      <c r="E1429" s="19"/>
      <c r="F1429" s="19"/>
      <c r="G1429" s="20"/>
      <c r="H1429" s="3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</row>
    <row r="1430" spans="1:34" ht="15.75" customHeight="1" x14ac:dyDescent="0.25">
      <c r="A1430" s="3"/>
      <c r="B1430" s="3"/>
      <c r="C1430" s="18"/>
      <c r="D1430" s="18"/>
      <c r="E1430" s="19"/>
      <c r="F1430" s="19"/>
      <c r="G1430" s="20"/>
      <c r="H1430" s="3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</row>
    <row r="1431" spans="1:34" ht="15.75" customHeight="1" x14ac:dyDescent="0.25">
      <c r="A1431" s="3"/>
      <c r="B1431" s="3"/>
      <c r="C1431" s="18"/>
      <c r="D1431" s="18"/>
      <c r="E1431" s="19"/>
      <c r="F1431" s="19"/>
      <c r="G1431" s="20"/>
      <c r="H1431" s="3"/>
      <c r="I1431" s="19"/>
      <c r="J1431" s="19"/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</row>
    <row r="1432" spans="1:34" ht="15.75" customHeight="1" x14ac:dyDescent="0.25">
      <c r="A1432" s="3"/>
      <c r="B1432" s="3"/>
      <c r="C1432" s="18"/>
      <c r="D1432" s="18"/>
      <c r="E1432" s="19"/>
      <c r="F1432" s="19"/>
      <c r="G1432" s="20"/>
      <c r="H1432" s="3"/>
      <c r="I1432" s="19"/>
      <c r="J1432" s="19"/>
      <c r="K1432" s="19"/>
      <c r="L1432" s="19"/>
      <c r="M1432" s="19"/>
      <c r="N1432" s="19"/>
      <c r="O1432" s="19"/>
      <c r="P1432" s="19"/>
      <c r="Q1432" s="19"/>
      <c r="R1432" s="19"/>
      <c r="S1432" s="19"/>
      <c r="T1432" s="19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</row>
    <row r="1433" spans="1:34" ht="15.75" customHeight="1" x14ac:dyDescent="0.25">
      <c r="A1433" s="3"/>
      <c r="B1433" s="3"/>
      <c r="C1433" s="18"/>
      <c r="D1433" s="18"/>
      <c r="E1433" s="19"/>
      <c r="F1433" s="19"/>
      <c r="G1433" s="20"/>
      <c r="H1433" s="3"/>
      <c r="I1433" s="19"/>
      <c r="J1433" s="19"/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</row>
    <row r="1434" spans="1:34" ht="15.75" customHeight="1" x14ac:dyDescent="0.25">
      <c r="A1434" s="3"/>
      <c r="B1434" s="3"/>
      <c r="C1434" s="18"/>
      <c r="D1434" s="18"/>
      <c r="E1434" s="19"/>
      <c r="F1434" s="19"/>
      <c r="G1434" s="20"/>
      <c r="H1434" s="3"/>
      <c r="I1434" s="19"/>
      <c r="J1434" s="19"/>
      <c r="K1434" s="19"/>
      <c r="L1434" s="19"/>
      <c r="M1434" s="19"/>
      <c r="N1434" s="19"/>
      <c r="O1434" s="19"/>
      <c r="P1434" s="19"/>
      <c r="Q1434" s="19"/>
      <c r="R1434" s="19"/>
      <c r="S1434" s="19"/>
      <c r="T1434" s="19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</row>
    <row r="1435" spans="1:34" ht="15.75" customHeight="1" x14ac:dyDescent="0.25">
      <c r="A1435" s="3"/>
      <c r="B1435" s="3"/>
      <c r="C1435" s="18"/>
      <c r="D1435" s="18"/>
      <c r="E1435" s="19"/>
      <c r="F1435" s="19"/>
      <c r="G1435" s="20"/>
      <c r="H1435" s="3"/>
      <c r="I1435" s="19"/>
      <c r="J1435" s="19"/>
      <c r="K1435" s="19"/>
      <c r="L1435" s="19"/>
      <c r="M1435" s="19"/>
      <c r="N1435" s="19"/>
      <c r="O1435" s="19"/>
      <c r="P1435" s="19"/>
      <c r="Q1435" s="19"/>
      <c r="R1435" s="19"/>
      <c r="S1435" s="19"/>
      <c r="T1435" s="19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</row>
    <row r="1436" spans="1:34" ht="15.75" customHeight="1" x14ac:dyDescent="0.25">
      <c r="A1436" s="3"/>
      <c r="B1436" s="3"/>
      <c r="C1436" s="18"/>
      <c r="D1436" s="18"/>
      <c r="E1436" s="19"/>
      <c r="F1436" s="19"/>
      <c r="G1436" s="20"/>
      <c r="H1436" s="3"/>
      <c r="I1436" s="19"/>
      <c r="J1436" s="19"/>
      <c r="K1436" s="19"/>
      <c r="L1436" s="19"/>
      <c r="M1436" s="19"/>
      <c r="N1436" s="19"/>
      <c r="O1436" s="19"/>
      <c r="P1436" s="19"/>
      <c r="Q1436" s="19"/>
      <c r="R1436" s="19"/>
      <c r="S1436" s="19"/>
      <c r="T1436" s="19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</row>
    <row r="1437" spans="1:34" ht="15.75" customHeight="1" x14ac:dyDescent="0.25">
      <c r="A1437" s="3"/>
      <c r="B1437" s="3"/>
      <c r="C1437" s="18"/>
      <c r="D1437" s="18"/>
      <c r="E1437" s="19"/>
      <c r="F1437" s="19"/>
      <c r="G1437" s="20"/>
      <c r="H1437" s="3"/>
      <c r="I1437" s="19"/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</row>
    <row r="1438" spans="1:34" ht="15.75" customHeight="1" x14ac:dyDescent="0.25">
      <c r="A1438" s="3"/>
      <c r="B1438" s="3"/>
      <c r="C1438" s="18"/>
      <c r="D1438" s="18"/>
      <c r="E1438" s="19"/>
      <c r="F1438" s="19"/>
      <c r="G1438" s="20"/>
      <c r="H1438" s="3"/>
      <c r="I1438" s="19"/>
      <c r="J1438" s="19"/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</row>
    <row r="1439" spans="1:34" ht="15.75" customHeight="1" x14ac:dyDescent="0.25">
      <c r="A1439" s="3"/>
      <c r="B1439" s="3"/>
      <c r="C1439" s="18"/>
      <c r="D1439" s="18"/>
      <c r="E1439" s="19"/>
      <c r="F1439" s="19"/>
      <c r="G1439" s="20"/>
      <c r="H1439" s="3"/>
      <c r="I1439" s="19"/>
      <c r="J1439" s="19"/>
      <c r="K1439" s="19"/>
      <c r="L1439" s="19"/>
      <c r="M1439" s="19"/>
      <c r="N1439" s="19"/>
      <c r="O1439" s="19"/>
      <c r="P1439" s="19"/>
      <c r="Q1439" s="19"/>
      <c r="R1439" s="19"/>
      <c r="S1439" s="19"/>
      <c r="T1439" s="19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</row>
    <row r="1440" spans="1:34" ht="15.75" customHeight="1" x14ac:dyDescent="0.25">
      <c r="A1440" s="3"/>
      <c r="B1440" s="3"/>
      <c r="C1440" s="18"/>
      <c r="D1440" s="18"/>
      <c r="E1440" s="19"/>
      <c r="F1440" s="19"/>
      <c r="G1440" s="20"/>
      <c r="H1440" s="3"/>
      <c r="I1440" s="19"/>
      <c r="J1440" s="19"/>
      <c r="K1440" s="19"/>
      <c r="L1440" s="19"/>
      <c r="M1440" s="19"/>
      <c r="N1440" s="19"/>
      <c r="O1440" s="19"/>
      <c r="P1440" s="19"/>
      <c r="Q1440" s="19"/>
      <c r="R1440" s="19"/>
      <c r="S1440" s="19"/>
      <c r="T1440" s="19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</row>
    <row r="1441" spans="1:34" ht="15.75" customHeight="1" x14ac:dyDescent="0.25">
      <c r="A1441" s="3"/>
      <c r="B1441" s="3"/>
      <c r="C1441" s="18"/>
      <c r="D1441" s="18"/>
      <c r="E1441" s="19"/>
      <c r="F1441" s="19"/>
      <c r="G1441" s="20"/>
      <c r="H1441" s="3"/>
      <c r="I1441" s="19"/>
      <c r="J1441" s="19"/>
      <c r="K1441" s="19"/>
      <c r="L1441" s="19"/>
      <c r="M1441" s="19"/>
      <c r="N1441" s="19"/>
      <c r="O1441" s="19"/>
      <c r="P1441" s="19"/>
      <c r="Q1441" s="19"/>
      <c r="R1441" s="19"/>
      <c r="S1441" s="19"/>
      <c r="T1441" s="19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</row>
    <row r="1442" spans="1:34" ht="15.75" customHeight="1" x14ac:dyDescent="0.25">
      <c r="A1442" s="3"/>
      <c r="B1442" s="3"/>
      <c r="C1442" s="18"/>
      <c r="D1442" s="18"/>
      <c r="E1442" s="19"/>
      <c r="F1442" s="19"/>
      <c r="G1442" s="20"/>
      <c r="H1442" s="3"/>
      <c r="I1442" s="19"/>
      <c r="J1442" s="19"/>
      <c r="K1442" s="19"/>
      <c r="L1442" s="19"/>
      <c r="M1442" s="19"/>
      <c r="N1442" s="19"/>
      <c r="O1442" s="19"/>
      <c r="P1442" s="19"/>
      <c r="Q1442" s="19"/>
      <c r="R1442" s="19"/>
      <c r="S1442" s="19"/>
      <c r="T1442" s="19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</row>
    <row r="1443" spans="1:34" ht="15.75" customHeight="1" x14ac:dyDescent="0.25">
      <c r="A1443" s="3"/>
      <c r="B1443" s="3"/>
      <c r="C1443" s="18"/>
      <c r="D1443" s="18"/>
      <c r="E1443" s="19"/>
      <c r="F1443" s="19"/>
      <c r="G1443" s="20"/>
      <c r="H1443" s="3"/>
      <c r="I1443" s="19"/>
      <c r="J1443" s="19"/>
      <c r="K1443" s="19"/>
      <c r="L1443" s="19"/>
      <c r="M1443" s="19"/>
      <c r="N1443" s="19"/>
      <c r="O1443" s="19"/>
      <c r="P1443" s="19"/>
      <c r="Q1443" s="19"/>
      <c r="R1443" s="19"/>
      <c r="S1443" s="19"/>
      <c r="T1443" s="19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</row>
    <row r="1444" spans="1:34" ht="15.75" customHeight="1" x14ac:dyDescent="0.25">
      <c r="A1444" s="3"/>
      <c r="B1444" s="3"/>
      <c r="C1444" s="18"/>
      <c r="D1444" s="18"/>
      <c r="E1444" s="19"/>
      <c r="F1444" s="19"/>
      <c r="G1444" s="20"/>
      <c r="H1444" s="3"/>
      <c r="I1444" s="19"/>
      <c r="J1444" s="19"/>
      <c r="K1444" s="19"/>
      <c r="L1444" s="19"/>
      <c r="M1444" s="19"/>
      <c r="N1444" s="19"/>
      <c r="O1444" s="19"/>
      <c r="P1444" s="19"/>
      <c r="Q1444" s="19"/>
      <c r="R1444" s="19"/>
      <c r="S1444" s="19"/>
      <c r="T1444" s="19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</row>
    <row r="1445" spans="1:34" ht="15.75" customHeight="1" x14ac:dyDescent="0.25">
      <c r="A1445" s="3"/>
      <c r="B1445" s="3"/>
      <c r="C1445" s="18"/>
      <c r="D1445" s="18"/>
      <c r="E1445" s="19"/>
      <c r="F1445" s="19"/>
      <c r="G1445" s="20"/>
      <c r="H1445" s="3"/>
      <c r="I1445" s="19"/>
      <c r="J1445" s="19"/>
      <c r="K1445" s="19"/>
      <c r="L1445" s="19"/>
      <c r="M1445" s="19"/>
      <c r="N1445" s="19"/>
      <c r="O1445" s="19"/>
      <c r="P1445" s="19"/>
      <c r="Q1445" s="19"/>
      <c r="R1445" s="19"/>
      <c r="S1445" s="19"/>
      <c r="T1445" s="19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</row>
    <row r="1446" spans="1:34" ht="15.75" customHeight="1" x14ac:dyDescent="0.25">
      <c r="A1446" s="3"/>
      <c r="B1446" s="3"/>
      <c r="C1446" s="18"/>
      <c r="D1446" s="18"/>
      <c r="E1446" s="19"/>
      <c r="F1446" s="19"/>
      <c r="G1446" s="20"/>
      <c r="H1446" s="3"/>
      <c r="I1446" s="19"/>
      <c r="J1446" s="19"/>
      <c r="K1446" s="19"/>
      <c r="L1446" s="19"/>
      <c r="M1446" s="19"/>
      <c r="N1446" s="19"/>
      <c r="O1446" s="19"/>
      <c r="P1446" s="19"/>
      <c r="Q1446" s="19"/>
      <c r="R1446" s="19"/>
      <c r="S1446" s="19"/>
      <c r="T1446" s="19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</row>
    <row r="1447" spans="1:34" ht="15.75" customHeight="1" x14ac:dyDescent="0.25">
      <c r="A1447" s="3"/>
      <c r="B1447" s="3"/>
      <c r="C1447" s="18"/>
      <c r="D1447" s="18"/>
      <c r="E1447" s="19"/>
      <c r="F1447" s="19"/>
      <c r="G1447" s="20"/>
      <c r="H1447" s="3"/>
      <c r="I1447" s="19"/>
      <c r="J1447" s="19"/>
      <c r="K1447" s="19"/>
      <c r="L1447" s="19"/>
      <c r="M1447" s="19"/>
      <c r="N1447" s="19"/>
      <c r="O1447" s="19"/>
      <c r="P1447" s="19"/>
      <c r="Q1447" s="19"/>
      <c r="R1447" s="19"/>
      <c r="S1447" s="19"/>
      <c r="T1447" s="19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</row>
    <row r="1448" spans="1:34" ht="15.75" customHeight="1" x14ac:dyDescent="0.25">
      <c r="A1448" s="3"/>
      <c r="B1448" s="3"/>
      <c r="C1448" s="18"/>
      <c r="D1448" s="18"/>
      <c r="E1448" s="19"/>
      <c r="F1448" s="19"/>
      <c r="G1448" s="20"/>
      <c r="H1448" s="3"/>
      <c r="I1448" s="19"/>
      <c r="J1448" s="19"/>
      <c r="K1448" s="19"/>
      <c r="L1448" s="19"/>
      <c r="M1448" s="19"/>
      <c r="N1448" s="19"/>
      <c r="O1448" s="19"/>
      <c r="P1448" s="19"/>
      <c r="Q1448" s="19"/>
      <c r="R1448" s="19"/>
      <c r="S1448" s="19"/>
      <c r="T1448" s="19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</row>
    <row r="1449" spans="1:34" ht="15.75" customHeight="1" x14ac:dyDescent="0.25">
      <c r="A1449" s="3"/>
      <c r="B1449" s="3"/>
      <c r="C1449" s="18"/>
      <c r="D1449" s="18"/>
      <c r="E1449" s="19"/>
      <c r="F1449" s="19"/>
      <c r="G1449" s="20"/>
      <c r="H1449" s="3"/>
      <c r="I1449" s="19"/>
      <c r="J1449" s="19"/>
      <c r="K1449" s="19"/>
      <c r="L1449" s="19"/>
      <c r="M1449" s="19"/>
      <c r="N1449" s="19"/>
      <c r="O1449" s="19"/>
      <c r="P1449" s="19"/>
      <c r="Q1449" s="19"/>
      <c r="R1449" s="19"/>
      <c r="S1449" s="19"/>
      <c r="T1449" s="19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</row>
    <row r="1450" spans="1:34" ht="15.75" customHeight="1" x14ac:dyDescent="0.25">
      <c r="A1450" s="3"/>
      <c r="B1450" s="3"/>
      <c r="C1450" s="18"/>
      <c r="D1450" s="18"/>
      <c r="E1450" s="19"/>
      <c r="F1450" s="19"/>
      <c r="G1450" s="20"/>
      <c r="H1450" s="3"/>
      <c r="I1450" s="19"/>
      <c r="J1450" s="19"/>
      <c r="K1450" s="19"/>
      <c r="L1450" s="19"/>
      <c r="M1450" s="19"/>
      <c r="N1450" s="19"/>
      <c r="O1450" s="19"/>
      <c r="P1450" s="19"/>
      <c r="Q1450" s="19"/>
      <c r="R1450" s="19"/>
      <c r="S1450" s="19"/>
      <c r="T1450" s="19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</row>
    <row r="1451" spans="1:34" ht="15.75" customHeight="1" x14ac:dyDescent="0.25">
      <c r="A1451" s="3"/>
      <c r="B1451" s="3"/>
      <c r="C1451" s="18"/>
      <c r="D1451" s="18"/>
      <c r="E1451" s="19"/>
      <c r="F1451" s="19"/>
      <c r="G1451" s="20"/>
      <c r="H1451" s="3"/>
      <c r="I1451" s="19"/>
      <c r="J1451" s="19"/>
      <c r="K1451" s="19"/>
      <c r="L1451" s="19"/>
      <c r="M1451" s="19"/>
      <c r="N1451" s="19"/>
      <c r="O1451" s="19"/>
      <c r="P1451" s="19"/>
      <c r="Q1451" s="19"/>
      <c r="R1451" s="19"/>
      <c r="S1451" s="19"/>
      <c r="T1451" s="19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</row>
    <row r="1452" spans="1:34" ht="15.75" customHeight="1" x14ac:dyDescent="0.25">
      <c r="A1452" s="3"/>
      <c r="B1452" s="3"/>
      <c r="C1452" s="18"/>
      <c r="D1452" s="18"/>
      <c r="E1452" s="19"/>
      <c r="F1452" s="19"/>
      <c r="G1452" s="20"/>
      <c r="H1452" s="3"/>
      <c r="I1452" s="19"/>
      <c r="J1452" s="19"/>
      <c r="K1452" s="19"/>
      <c r="L1452" s="19"/>
      <c r="M1452" s="19"/>
      <c r="N1452" s="19"/>
      <c r="O1452" s="19"/>
      <c r="P1452" s="19"/>
      <c r="Q1452" s="19"/>
      <c r="R1452" s="19"/>
      <c r="S1452" s="19"/>
      <c r="T1452" s="19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</row>
    <row r="1453" spans="1:34" ht="15.75" customHeight="1" x14ac:dyDescent="0.25">
      <c r="A1453" s="3"/>
      <c r="B1453" s="3"/>
      <c r="C1453" s="18"/>
      <c r="D1453" s="18"/>
      <c r="E1453" s="19"/>
      <c r="F1453" s="19"/>
      <c r="G1453" s="20"/>
      <c r="H1453" s="3"/>
      <c r="I1453" s="19"/>
      <c r="J1453" s="19"/>
      <c r="K1453" s="19"/>
      <c r="L1453" s="19"/>
      <c r="M1453" s="19"/>
      <c r="N1453" s="19"/>
      <c r="O1453" s="19"/>
      <c r="P1453" s="19"/>
      <c r="Q1453" s="19"/>
      <c r="R1453" s="19"/>
      <c r="S1453" s="19"/>
      <c r="T1453" s="19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</row>
    <row r="1454" spans="1:34" ht="15.75" customHeight="1" x14ac:dyDescent="0.25">
      <c r="A1454" s="3"/>
      <c r="B1454" s="3"/>
      <c r="C1454" s="18"/>
      <c r="D1454" s="18"/>
      <c r="E1454" s="19"/>
      <c r="F1454" s="19"/>
      <c r="G1454" s="20"/>
      <c r="H1454" s="3"/>
      <c r="I1454" s="19"/>
      <c r="J1454" s="19"/>
      <c r="K1454" s="19"/>
      <c r="L1454" s="19"/>
      <c r="M1454" s="19"/>
      <c r="N1454" s="19"/>
      <c r="O1454" s="19"/>
      <c r="P1454" s="19"/>
      <c r="Q1454" s="19"/>
      <c r="R1454" s="19"/>
      <c r="S1454" s="19"/>
      <c r="T1454" s="19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</row>
    <row r="1455" spans="1:34" ht="15.75" customHeight="1" x14ac:dyDescent="0.25">
      <c r="A1455" s="3"/>
      <c r="B1455" s="3"/>
      <c r="C1455" s="18"/>
      <c r="D1455" s="18"/>
      <c r="E1455" s="19"/>
      <c r="F1455" s="19"/>
      <c r="G1455" s="20"/>
      <c r="H1455" s="3"/>
      <c r="I1455" s="19"/>
      <c r="J1455" s="19"/>
      <c r="K1455" s="19"/>
      <c r="L1455" s="19"/>
      <c r="M1455" s="19"/>
      <c r="N1455" s="19"/>
      <c r="O1455" s="19"/>
      <c r="P1455" s="19"/>
      <c r="Q1455" s="19"/>
      <c r="R1455" s="19"/>
      <c r="S1455" s="19"/>
      <c r="T1455" s="19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</row>
    <row r="1456" spans="1:34" ht="15.75" customHeight="1" x14ac:dyDescent="0.25">
      <c r="A1456" s="3"/>
      <c r="B1456" s="3"/>
      <c r="C1456" s="18"/>
      <c r="D1456" s="18"/>
      <c r="E1456" s="19"/>
      <c r="F1456" s="19"/>
      <c r="G1456" s="20"/>
      <c r="H1456" s="3"/>
      <c r="I1456" s="19"/>
      <c r="J1456" s="19"/>
      <c r="K1456" s="19"/>
      <c r="L1456" s="19"/>
      <c r="M1456" s="19"/>
      <c r="N1456" s="19"/>
      <c r="O1456" s="19"/>
      <c r="P1456" s="19"/>
      <c r="Q1456" s="19"/>
      <c r="R1456" s="19"/>
      <c r="S1456" s="19"/>
      <c r="T1456" s="19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</row>
    <row r="1457" spans="1:34" ht="15.75" customHeight="1" x14ac:dyDescent="0.25">
      <c r="A1457" s="3"/>
      <c r="B1457" s="3"/>
      <c r="C1457" s="18"/>
      <c r="D1457" s="18"/>
      <c r="E1457" s="19"/>
      <c r="F1457" s="19"/>
      <c r="G1457" s="20"/>
      <c r="H1457" s="3"/>
      <c r="I1457" s="19"/>
      <c r="J1457" s="19"/>
      <c r="K1457" s="19"/>
      <c r="L1457" s="19"/>
      <c r="M1457" s="19"/>
      <c r="N1457" s="19"/>
      <c r="O1457" s="19"/>
      <c r="P1457" s="19"/>
      <c r="Q1457" s="19"/>
      <c r="R1457" s="19"/>
      <c r="S1457" s="19"/>
      <c r="T1457" s="19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</row>
    <row r="1458" spans="1:34" ht="15.75" customHeight="1" x14ac:dyDescent="0.25">
      <c r="A1458" s="3"/>
      <c r="B1458" s="3"/>
      <c r="C1458" s="18"/>
      <c r="D1458" s="18"/>
      <c r="E1458" s="19"/>
      <c r="F1458" s="19"/>
      <c r="G1458" s="20"/>
      <c r="H1458" s="3"/>
      <c r="I1458" s="19"/>
      <c r="J1458" s="19"/>
      <c r="K1458" s="19"/>
      <c r="L1458" s="19"/>
      <c r="M1458" s="19"/>
      <c r="N1458" s="19"/>
      <c r="O1458" s="19"/>
      <c r="P1458" s="19"/>
      <c r="Q1458" s="19"/>
      <c r="R1458" s="19"/>
      <c r="S1458" s="19"/>
      <c r="T1458" s="19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</row>
    <row r="1459" spans="1:34" ht="15.75" customHeight="1" x14ac:dyDescent="0.25">
      <c r="A1459" s="3"/>
      <c r="B1459" s="3"/>
      <c r="C1459" s="18"/>
      <c r="D1459" s="18"/>
      <c r="E1459" s="19"/>
      <c r="F1459" s="19"/>
      <c r="G1459" s="20"/>
      <c r="H1459" s="3"/>
      <c r="I1459" s="19"/>
      <c r="J1459" s="19"/>
      <c r="K1459" s="19"/>
      <c r="L1459" s="19"/>
      <c r="M1459" s="19"/>
      <c r="N1459" s="19"/>
      <c r="O1459" s="19"/>
      <c r="P1459" s="19"/>
      <c r="Q1459" s="19"/>
      <c r="R1459" s="19"/>
      <c r="S1459" s="19"/>
      <c r="T1459" s="19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</row>
    <row r="1460" spans="1:34" ht="15.75" customHeight="1" x14ac:dyDescent="0.25">
      <c r="A1460" s="3"/>
      <c r="B1460" s="3"/>
      <c r="C1460" s="18"/>
      <c r="D1460" s="18"/>
      <c r="E1460" s="19"/>
      <c r="F1460" s="19"/>
      <c r="G1460" s="20"/>
      <c r="H1460" s="3"/>
      <c r="I1460" s="19"/>
      <c r="J1460" s="19"/>
      <c r="K1460" s="19"/>
      <c r="L1460" s="19"/>
      <c r="M1460" s="19"/>
      <c r="N1460" s="19"/>
      <c r="O1460" s="19"/>
      <c r="P1460" s="19"/>
      <c r="Q1460" s="19"/>
      <c r="R1460" s="19"/>
      <c r="S1460" s="19"/>
      <c r="T1460" s="19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</row>
    <row r="1461" spans="1:34" ht="15.75" customHeight="1" x14ac:dyDescent="0.25">
      <c r="A1461" s="3"/>
      <c r="B1461" s="3"/>
      <c r="C1461" s="18"/>
      <c r="D1461" s="18"/>
      <c r="E1461" s="19"/>
      <c r="F1461" s="19"/>
      <c r="G1461" s="20"/>
      <c r="H1461" s="3"/>
      <c r="I1461" s="19"/>
      <c r="J1461" s="19"/>
      <c r="K1461" s="19"/>
      <c r="L1461" s="19"/>
      <c r="M1461" s="19"/>
      <c r="N1461" s="19"/>
      <c r="O1461" s="19"/>
      <c r="P1461" s="19"/>
      <c r="Q1461" s="19"/>
      <c r="R1461" s="19"/>
      <c r="S1461" s="19"/>
      <c r="T1461" s="19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</row>
    <row r="1462" spans="1:34" ht="15.75" customHeight="1" x14ac:dyDescent="0.25">
      <c r="A1462" s="3"/>
      <c r="B1462" s="3"/>
      <c r="C1462" s="18"/>
      <c r="D1462" s="18"/>
      <c r="E1462" s="19"/>
      <c r="F1462" s="19"/>
      <c r="G1462" s="20"/>
      <c r="H1462" s="3"/>
      <c r="I1462" s="19"/>
      <c r="J1462" s="19"/>
      <c r="K1462" s="19"/>
      <c r="L1462" s="19"/>
      <c r="M1462" s="19"/>
      <c r="N1462" s="19"/>
      <c r="O1462" s="19"/>
      <c r="P1462" s="19"/>
      <c r="Q1462" s="19"/>
      <c r="R1462" s="19"/>
      <c r="S1462" s="19"/>
      <c r="T1462" s="19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</row>
    <row r="1463" spans="1:34" ht="15.75" customHeight="1" x14ac:dyDescent="0.25">
      <c r="A1463" s="3"/>
      <c r="B1463" s="3"/>
      <c r="C1463" s="18"/>
      <c r="D1463" s="18"/>
      <c r="E1463" s="19"/>
      <c r="F1463" s="19"/>
      <c r="G1463" s="20"/>
      <c r="H1463" s="3"/>
      <c r="I1463" s="19"/>
      <c r="J1463" s="19"/>
      <c r="K1463" s="19"/>
      <c r="L1463" s="19"/>
      <c r="M1463" s="19"/>
      <c r="N1463" s="19"/>
      <c r="O1463" s="19"/>
      <c r="P1463" s="19"/>
      <c r="Q1463" s="19"/>
      <c r="R1463" s="19"/>
      <c r="S1463" s="19"/>
      <c r="T1463" s="19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</row>
    <row r="1464" spans="1:34" ht="15.75" customHeight="1" x14ac:dyDescent="0.25">
      <c r="A1464" s="3"/>
      <c r="B1464" s="3"/>
      <c r="C1464" s="18"/>
      <c r="D1464" s="18"/>
      <c r="E1464" s="19"/>
      <c r="F1464" s="19"/>
      <c r="G1464" s="20"/>
      <c r="H1464" s="3"/>
      <c r="I1464" s="19"/>
      <c r="J1464" s="19"/>
      <c r="K1464" s="19"/>
      <c r="L1464" s="19"/>
      <c r="M1464" s="19"/>
      <c r="N1464" s="19"/>
      <c r="O1464" s="19"/>
      <c r="P1464" s="19"/>
      <c r="Q1464" s="19"/>
      <c r="R1464" s="19"/>
      <c r="S1464" s="19"/>
      <c r="T1464" s="19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</row>
    <row r="1465" spans="1:34" ht="15.75" customHeight="1" x14ac:dyDescent="0.25">
      <c r="A1465" s="3"/>
      <c r="B1465" s="3"/>
      <c r="C1465" s="18"/>
      <c r="D1465" s="18"/>
      <c r="E1465" s="19"/>
      <c r="F1465" s="19"/>
      <c r="G1465" s="20"/>
      <c r="H1465" s="3"/>
      <c r="I1465" s="19"/>
      <c r="J1465" s="19"/>
      <c r="K1465" s="19"/>
      <c r="L1465" s="19"/>
      <c r="M1465" s="19"/>
      <c r="N1465" s="19"/>
      <c r="O1465" s="19"/>
      <c r="P1465" s="19"/>
      <c r="Q1465" s="19"/>
      <c r="R1465" s="19"/>
      <c r="S1465" s="19"/>
      <c r="T1465" s="19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</row>
    <row r="1466" spans="1:34" ht="15.75" customHeight="1" x14ac:dyDescent="0.25">
      <c r="A1466" s="3"/>
      <c r="B1466" s="3"/>
      <c r="C1466" s="18"/>
      <c r="D1466" s="18"/>
      <c r="E1466" s="19"/>
      <c r="F1466" s="19"/>
      <c r="G1466" s="20"/>
      <c r="H1466" s="3"/>
      <c r="I1466" s="19"/>
      <c r="J1466" s="19"/>
      <c r="K1466" s="19"/>
      <c r="L1466" s="19"/>
      <c r="M1466" s="19"/>
      <c r="N1466" s="19"/>
      <c r="O1466" s="19"/>
      <c r="P1466" s="19"/>
      <c r="Q1466" s="19"/>
      <c r="R1466" s="19"/>
      <c r="S1466" s="19"/>
      <c r="T1466" s="19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</row>
    <row r="1467" spans="1:34" ht="15.75" customHeight="1" x14ac:dyDescent="0.25">
      <c r="A1467" s="3"/>
      <c r="B1467" s="3"/>
      <c r="C1467" s="18"/>
      <c r="D1467" s="18"/>
      <c r="E1467" s="19"/>
      <c r="F1467" s="19"/>
      <c r="G1467" s="20"/>
      <c r="H1467" s="3"/>
      <c r="I1467" s="19"/>
      <c r="J1467" s="19"/>
      <c r="K1467" s="19"/>
      <c r="L1467" s="19"/>
      <c r="M1467" s="19"/>
      <c r="N1467" s="19"/>
      <c r="O1467" s="19"/>
      <c r="P1467" s="19"/>
      <c r="Q1467" s="19"/>
      <c r="R1467" s="19"/>
      <c r="S1467" s="19"/>
      <c r="T1467" s="19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</row>
    <row r="1468" spans="1:34" ht="15.75" customHeight="1" x14ac:dyDescent="0.25">
      <c r="A1468" s="3"/>
      <c r="B1468" s="3"/>
      <c r="C1468" s="18"/>
      <c r="D1468" s="18"/>
      <c r="E1468" s="19"/>
      <c r="F1468" s="19"/>
      <c r="G1468" s="20"/>
      <c r="H1468" s="3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  <c r="T1468" s="19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</row>
    <row r="1469" spans="1:34" ht="15.75" customHeight="1" x14ac:dyDescent="0.25">
      <c r="A1469" s="3"/>
      <c r="B1469" s="3"/>
      <c r="C1469" s="18"/>
      <c r="D1469" s="18"/>
      <c r="E1469" s="19"/>
      <c r="F1469" s="19"/>
      <c r="G1469" s="20"/>
      <c r="H1469" s="3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  <c r="T1469" s="19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</row>
    <row r="1470" spans="1:34" ht="15.75" customHeight="1" x14ac:dyDescent="0.25">
      <c r="A1470" s="3"/>
      <c r="B1470" s="3"/>
      <c r="C1470" s="18"/>
      <c r="D1470" s="18"/>
      <c r="E1470" s="19"/>
      <c r="F1470" s="19"/>
      <c r="G1470" s="20"/>
      <c r="H1470" s="3"/>
      <c r="I1470" s="19"/>
      <c r="J1470" s="19"/>
      <c r="K1470" s="19"/>
      <c r="L1470" s="19"/>
      <c r="M1470" s="19"/>
      <c r="N1470" s="19"/>
      <c r="O1470" s="19"/>
      <c r="P1470" s="19"/>
      <c r="Q1470" s="19"/>
      <c r="R1470" s="19"/>
      <c r="S1470" s="19"/>
      <c r="T1470" s="19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</row>
    <row r="1471" spans="1:34" ht="15.75" customHeight="1" x14ac:dyDescent="0.25">
      <c r="A1471" s="3"/>
      <c r="B1471" s="3"/>
      <c r="C1471" s="18"/>
      <c r="D1471" s="18"/>
      <c r="E1471" s="19"/>
      <c r="F1471" s="19"/>
      <c r="G1471" s="20"/>
      <c r="H1471" s="3"/>
      <c r="I1471" s="19"/>
      <c r="J1471" s="19"/>
      <c r="K1471" s="19"/>
      <c r="L1471" s="19"/>
      <c r="M1471" s="19"/>
      <c r="N1471" s="19"/>
      <c r="O1471" s="19"/>
      <c r="P1471" s="19"/>
      <c r="Q1471" s="19"/>
      <c r="R1471" s="19"/>
      <c r="S1471" s="19"/>
      <c r="T1471" s="19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</row>
    <row r="1472" spans="1:34" ht="15.75" customHeight="1" x14ac:dyDescent="0.25">
      <c r="A1472" s="3"/>
      <c r="B1472" s="3"/>
      <c r="C1472" s="18"/>
      <c r="D1472" s="18"/>
      <c r="E1472" s="19"/>
      <c r="F1472" s="19"/>
      <c r="G1472" s="20"/>
      <c r="H1472" s="3"/>
      <c r="I1472" s="19"/>
      <c r="J1472" s="19"/>
      <c r="K1472" s="19"/>
      <c r="L1472" s="19"/>
      <c r="M1472" s="19"/>
      <c r="N1472" s="19"/>
      <c r="O1472" s="19"/>
      <c r="P1472" s="19"/>
      <c r="Q1472" s="19"/>
      <c r="R1472" s="19"/>
      <c r="S1472" s="19"/>
      <c r="T1472" s="19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</row>
    <row r="1473" spans="1:34" ht="15.75" customHeight="1" x14ac:dyDescent="0.25">
      <c r="A1473" s="3"/>
      <c r="B1473" s="3"/>
      <c r="C1473" s="18"/>
      <c r="D1473" s="18"/>
      <c r="E1473" s="19"/>
      <c r="F1473" s="19"/>
      <c r="G1473" s="20"/>
      <c r="H1473" s="3"/>
      <c r="I1473" s="19"/>
      <c r="J1473" s="19"/>
      <c r="K1473" s="19"/>
      <c r="L1473" s="19"/>
      <c r="M1473" s="19"/>
      <c r="N1473" s="19"/>
      <c r="O1473" s="19"/>
      <c r="P1473" s="19"/>
      <c r="Q1473" s="19"/>
      <c r="R1473" s="19"/>
      <c r="S1473" s="19"/>
      <c r="T1473" s="19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</row>
    <row r="1474" spans="1:34" ht="15.75" customHeight="1" x14ac:dyDescent="0.25">
      <c r="A1474" s="3"/>
      <c r="B1474" s="3"/>
      <c r="C1474" s="18"/>
      <c r="D1474" s="18"/>
      <c r="E1474" s="19"/>
      <c r="F1474" s="19"/>
      <c r="G1474" s="20"/>
      <c r="H1474" s="3"/>
      <c r="I1474" s="19"/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</row>
    <row r="1475" spans="1:34" ht="15.75" customHeight="1" x14ac:dyDescent="0.25">
      <c r="A1475" s="3"/>
      <c r="B1475" s="3"/>
      <c r="C1475" s="18"/>
      <c r="D1475" s="18"/>
      <c r="E1475" s="19"/>
      <c r="F1475" s="19"/>
      <c r="G1475" s="20"/>
      <c r="H1475" s="3"/>
      <c r="I1475" s="19"/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</row>
    <row r="1476" spans="1:34" ht="15.75" customHeight="1" x14ac:dyDescent="0.25">
      <c r="A1476" s="3"/>
      <c r="B1476" s="3"/>
      <c r="C1476" s="18"/>
      <c r="D1476" s="18"/>
      <c r="E1476" s="19"/>
      <c r="F1476" s="19"/>
      <c r="G1476" s="20"/>
      <c r="H1476" s="3"/>
      <c r="I1476" s="19"/>
      <c r="J1476" s="19"/>
      <c r="K1476" s="19"/>
      <c r="L1476" s="19"/>
      <c r="M1476" s="19"/>
      <c r="N1476" s="19"/>
      <c r="O1476" s="19"/>
      <c r="P1476" s="19"/>
      <c r="Q1476" s="19"/>
      <c r="R1476" s="19"/>
      <c r="S1476" s="19"/>
      <c r="T1476" s="19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</row>
    <row r="1477" spans="1:34" ht="15.75" customHeight="1" x14ac:dyDescent="0.25">
      <c r="A1477" s="3"/>
      <c r="B1477" s="3"/>
      <c r="C1477" s="18"/>
      <c r="D1477" s="18"/>
      <c r="E1477" s="19"/>
      <c r="F1477" s="19"/>
      <c r="G1477" s="20"/>
      <c r="H1477" s="3"/>
      <c r="I1477" s="19"/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  <c r="T1477" s="19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</row>
    <row r="1478" spans="1:34" ht="15.75" customHeight="1" x14ac:dyDescent="0.25">
      <c r="A1478" s="3"/>
      <c r="B1478" s="3"/>
      <c r="C1478" s="18"/>
      <c r="D1478" s="18"/>
      <c r="E1478" s="19"/>
      <c r="F1478" s="19"/>
      <c r="G1478" s="20"/>
      <c r="H1478" s="3"/>
      <c r="I1478" s="19"/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</row>
    <row r="1479" spans="1:34" ht="15.75" customHeight="1" x14ac:dyDescent="0.25">
      <c r="A1479" s="3"/>
      <c r="B1479" s="3"/>
      <c r="C1479" s="18"/>
      <c r="D1479" s="18"/>
      <c r="E1479" s="19"/>
      <c r="F1479" s="19"/>
      <c r="G1479" s="20"/>
      <c r="H1479" s="3"/>
      <c r="I1479" s="19"/>
      <c r="J1479" s="19"/>
      <c r="K1479" s="19"/>
      <c r="L1479" s="19"/>
      <c r="M1479" s="19"/>
      <c r="N1479" s="19"/>
      <c r="O1479" s="19"/>
      <c r="P1479" s="19"/>
      <c r="Q1479" s="19"/>
      <c r="R1479" s="19"/>
      <c r="S1479" s="19"/>
      <c r="T1479" s="19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</row>
    <row r="1480" spans="1:34" ht="15.75" customHeight="1" x14ac:dyDescent="0.25">
      <c r="A1480" s="3"/>
      <c r="B1480" s="3"/>
      <c r="C1480" s="18"/>
      <c r="D1480" s="18"/>
      <c r="E1480" s="19"/>
      <c r="F1480" s="19"/>
      <c r="G1480" s="20"/>
      <c r="H1480" s="3"/>
      <c r="I1480" s="19"/>
      <c r="J1480" s="19"/>
      <c r="K1480" s="19"/>
      <c r="L1480" s="19"/>
      <c r="M1480" s="19"/>
      <c r="N1480" s="19"/>
      <c r="O1480" s="19"/>
      <c r="P1480" s="19"/>
      <c r="Q1480" s="19"/>
      <c r="R1480" s="19"/>
      <c r="S1480" s="19"/>
      <c r="T1480" s="19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</row>
    <row r="1481" spans="1:34" ht="15.75" customHeight="1" x14ac:dyDescent="0.25">
      <c r="A1481" s="3"/>
      <c r="B1481" s="3"/>
      <c r="C1481" s="18"/>
      <c r="D1481" s="18"/>
      <c r="E1481" s="19"/>
      <c r="F1481" s="19"/>
      <c r="G1481" s="20"/>
      <c r="H1481" s="3"/>
      <c r="I1481" s="19"/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</row>
    <row r="1482" spans="1:34" ht="15.75" customHeight="1" x14ac:dyDescent="0.25">
      <c r="A1482" s="3"/>
      <c r="B1482" s="3"/>
      <c r="C1482" s="18"/>
      <c r="D1482" s="18"/>
      <c r="E1482" s="19"/>
      <c r="F1482" s="19"/>
      <c r="G1482" s="20"/>
      <c r="H1482" s="3"/>
      <c r="I1482" s="19"/>
      <c r="J1482" s="19"/>
      <c r="K1482" s="19"/>
      <c r="L1482" s="19"/>
      <c r="M1482" s="19"/>
      <c r="N1482" s="19"/>
      <c r="O1482" s="19"/>
      <c r="P1482" s="19"/>
      <c r="Q1482" s="19"/>
      <c r="R1482" s="19"/>
      <c r="S1482" s="19"/>
      <c r="T1482" s="19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</row>
    <row r="1483" spans="1:34" ht="15.75" customHeight="1" x14ac:dyDescent="0.25">
      <c r="A1483" s="3"/>
      <c r="B1483" s="3"/>
      <c r="C1483" s="18"/>
      <c r="D1483" s="18"/>
      <c r="E1483" s="19"/>
      <c r="F1483" s="19"/>
      <c r="G1483" s="20"/>
      <c r="H1483" s="3"/>
      <c r="I1483" s="19"/>
      <c r="J1483" s="19"/>
      <c r="K1483" s="19"/>
      <c r="L1483" s="19"/>
      <c r="M1483" s="19"/>
      <c r="N1483" s="19"/>
      <c r="O1483" s="19"/>
      <c r="P1483" s="19"/>
      <c r="Q1483" s="19"/>
      <c r="R1483" s="19"/>
      <c r="S1483" s="19"/>
      <c r="T1483" s="19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</row>
    <row r="1484" spans="1:34" ht="15.75" customHeight="1" x14ac:dyDescent="0.25">
      <c r="A1484" s="3"/>
      <c r="B1484" s="3"/>
      <c r="C1484" s="18"/>
      <c r="D1484" s="18"/>
      <c r="E1484" s="19"/>
      <c r="F1484" s="19"/>
      <c r="G1484" s="20"/>
      <c r="H1484" s="3"/>
      <c r="I1484" s="19"/>
      <c r="J1484" s="19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</row>
    <row r="1485" spans="1:34" ht="15.75" customHeight="1" x14ac:dyDescent="0.25">
      <c r="A1485" s="3"/>
      <c r="B1485" s="3"/>
      <c r="C1485" s="18"/>
      <c r="D1485" s="18"/>
      <c r="E1485" s="19"/>
      <c r="F1485" s="19"/>
      <c r="G1485" s="20"/>
      <c r="H1485" s="3"/>
      <c r="I1485" s="19"/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</row>
    <row r="1486" spans="1:34" ht="15.75" customHeight="1" x14ac:dyDescent="0.25">
      <c r="A1486" s="3"/>
      <c r="B1486" s="3"/>
      <c r="C1486" s="18"/>
      <c r="D1486" s="18"/>
      <c r="E1486" s="19"/>
      <c r="F1486" s="19"/>
      <c r="G1486" s="20"/>
      <c r="H1486" s="3"/>
      <c r="I1486" s="19"/>
      <c r="J1486" s="19"/>
      <c r="K1486" s="19"/>
      <c r="L1486" s="19"/>
      <c r="M1486" s="19"/>
      <c r="N1486" s="19"/>
      <c r="O1486" s="19"/>
      <c r="P1486" s="19"/>
      <c r="Q1486" s="19"/>
      <c r="R1486" s="19"/>
      <c r="S1486" s="19"/>
      <c r="T1486" s="19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</row>
    <row r="1487" spans="1:34" ht="15.75" customHeight="1" x14ac:dyDescent="0.25">
      <c r="A1487" s="3"/>
      <c r="B1487" s="3"/>
      <c r="C1487" s="18"/>
      <c r="D1487" s="18"/>
      <c r="E1487" s="19"/>
      <c r="F1487" s="19"/>
      <c r="G1487" s="20"/>
      <c r="H1487" s="3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  <c r="S1487" s="19"/>
      <c r="T1487" s="19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</row>
    <row r="1488" spans="1:34" ht="15.75" customHeight="1" x14ac:dyDescent="0.25">
      <c r="A1488" s="3"/>
      <c r="B1488" s="3"/>
      <c r="C1488" s="18"/>
      <c r="D1488" s="18"/>
      <c r="E1488" s="19"/>
      <c r="F1488" s="19"/>
      <c r="G1488" s="20"/>
      <c r="H1488" s="3"/>
      <c r="I1488" s="19"/>
      <c r="J1488" s="19"/>
      <c r="K1488" s="19"/>
      <c r="L1488" s="19"/>
      <c r="M1488" s="19"/>
      <c r="N1488" s="19"/>
      <c r="O1488" s="19"/>
      <c r="P1488" s="19"/>
      <c r="Q1488" s="19"/>
      <c r="R1488" s="19"/>
      <c r="S1488" s="19"/>
      <c r="T1488" s="19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</row>
    <row r="1489" spans="1:34" ht="15.75" customHeight="1" x14ac:dyDescent="0.25">
      <c r="A1489" s="3"/>
      <c r="B1489" s="3"/>
      <c r="C1489" s="18"/>
      <c r="D1489" s="18"/>
      <c r="E1489" s="19"/>
      <c r="F1489" s="19"/>
      <c r="G1489" s="20"/>
      <c r="H1489" s="3"/>
      <c r="I1489" s="19"/>
      <c r="J1489" s="19"/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</row>
    <row r="1490" spans="1:34" ht="15.75" customHeight="1" x14ac:dyDescent="0.25">
      <c r="A1490" s="3"/>
      <c r="B1490" s="3"/>
      <c r="C1490" s="18"/>
      <c r="D1490" s="18"/>
      <c r="E1490" s="19"/>
      <c r="F1490" s="19"/>
      <c r="G1490" s="20"/>
      <c r="H1490" s="3"/>
      <c r="I1490" s="19"/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</row>
    <row r="1491" spans="1:34" ht="15.75" customHeight="1" x14ac:dyDescent="0.25">
      <c r="A1491" s="3"/>
      <c r="B1491" s="3"/>
      <c r="C1491" s="18"/>
      <c r="D1491" s="18"/>
      <c r="E1491" s="19"/>
      <c r="F1491" s="19"/>
      <c r="G1491" s="20"/>
      <c r="H1491" s="3"/>
      <c r="I1491" s="19"/>
      <c r="J1491" s="19"/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</row>
    <row r="1492" spans="1:34" ht="15.75" customHeight="1" x14ac:dyDescent="0.25">
      <c r="A1492" s="3"/>
      <c r="B1492" s="3"/>
      <c r="C1492" s="18"/>
      <c r="D1492" s="18"/>
      <c r="E1492" s="19"/>
      <c r="F1492" s="19"/>
      <c r="G1492" s="20"/>
      <c r="H1492" s="3"/>
      <c r="I1492" s="19"/>
      <c r="J1492" s="19"/>
      <c r="K1492" s="19"/>
      <c r="L1492" s="19"/>
      <c r="M1492" s="19"/>
      <c r="N1492" s="19"/>
      <c r="O1492" s="19"/>
      <c r="P1492" s="19"/>
      <c r="Q1492" s="19"/>
      <c r="R1492" s="19"/>
      <c r="S1492" s="19"/>
      <c r="T1492" s="19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</row>
    <row r="1493" spans="1:34" ht="15.75" customHeight="1" x14ac:dyDescent="0.25">
      <c r="A1493" s="3"/>
      <c r="B1493" s="3"/>
      <c r="C1493" s="18"/>
      <c r="D1493" s="18"/>
      <c r="E1493" s="19"/>
      <c r="F1493" s="19"/>
      <c r="G1493" s="20"/>
      <c r="H1493" s="3"/>
      <c r="I1493" s="19"/>
      <c r="J1493" s="19"/>
      <c r="K1493" s="19"/>
      <c r="L1493" s="19"/>
      <c r="M1493" s="19"/>
      <c r="N1493" s="19"/>
      <c r="O1493" s="19"/>
      <c r="P1493" s="19"/>
      <c r="Q1493" s="19"/>
      <c r="R1493" s="19"/>
      <c r="S1493" s="19"/>
      <c r="T1493" s="19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</row>
    <row r="1494" spans="1:34" ht="15.75" customHeight="1" x14ac:dyDescent="0.25">
      <c r="A1494" s="3"/>
      <c r="B1494" s="3"/>
      <c r="C1494" s="18"/>
      <c r="D1494" s="18"/>
      <c r="E1494" s="19"/>
      <c r="F1494" s="19"/>
      <c r="G1494" s="20"/>
      <c r="H1494" s="3"/>
      <c r="I1494" s="19"/>
      <c r="J1494" s="19"/>
      <c r="K1494" s="19"/>
      <c r="L1494" s="19"/>
      <c r="M1494" s="19"/>
      <c r="N1494" s="19"/>
      <c r="O1494" s="19"/>
      <c r="P1494" s="19"/>
      <c r="Q1494" s="19"/>
      <c r="R1494" s="19"/>
      <c r="S1494" s="19"/>
      <c r="T1494" s="19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</row>
    <row r="1495" spans="1:34" ht="15.75" customHeight="1" x14ac:dyDescent="0.25">
      <c r="A1495" s="3"/>
      <c r="B1495" s="3"/>
      <c r="C1495" s="18"/>
      <c r="D1495" s="18"/>
      <c r="E1495" s="19"/>
      <c r="F1495" s="19"/>
      <c r="G1495" s="20"/>
      <c r="H1495" s="3"/>
      <c r="I1495" s="19"/>
      <c r="J1495" s="19"/>
      <c r="K1495" s="19"/>
      <c r="L1495" s="19"/>
      <c r="M1495" s="19"/>
      <c r="N1495" s="19"/>
      <c r="O1495" s="19"/>
      <c r="P1495" s="19"/>
      <c r="Q1495" s="19"/>
      <c r="R1495" s="19"/>
      <c r="S1495" s="19"/>
      <c r="T1495" s="19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</row>
    <row r="1496" spans="1:34" ht="15.75" customHeight="1" x14ac:dyDescent="0.25">
      <c r="A1496" s="3"/>
      <c r="B1496" s="3"/>
      <c r="C1496" s="18"/>
      <c r="D1496" s="18"/>
      <c r="E1496" s="19"/>
      <c r="F1496" s="19"/>
      <c r="G1496" s="20"/>
      <c r="H1496" s="3"/>
      <c r="I1496" s="19"/>
      <c r="J1496" s="19"/>
      <c r="K1496" s="19"/>
      <c r="L1496" s="19"/>
      <c r="M1496" s="19"/>
      <c r="N1496" s="19"/>
      <c r="O1496" s="19"/>
      <c r="P1496" s="19"/>
      <c r="Q1496" s="19"/>
      <c r="R1496" s="19"/>
      <c r="S1496" s="19"/>
      <c r="T1496" s="19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</row>
    <row r="1497" spans="1:34" ht="15.75" customHeight="1" x14ac:dyDescent="0.25">
      <c r="A1497" s="3"/>
      <c r="B1497" s="3"/>
      <c r="C1497" s="18"/>
      <c r="D1497" s="18"/>
      <c r="E1497" s="19"/>
      <c r="F1497" s="19"/>
      <c r="G1497" s="20"/>
      <c r="H1497" s="3"/>
      <c r="I1497" s="19"/>
      <c r="J1497" s="19"/>
      <c r="K1497" s="19"/>
      <c r="L1497" s="19"/>
      <c r="M1497" s="19"/>
      <c r="N1497" s="19"/>
      <c r="O1497" s="19"/>
      <c r="P1497" s="19"/>
      <c r="Q1497" s="19"/>
      <c r="R1497" s="19"/>
      <c r="S1497" s="19"/>
      <c r="T1497" s="19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</row>
    <row r="1498" spans="1:34" ht="15.75" customHeight="1" x14ac:dyDescent="0.25">
      <c r="A1498" s="3"/>
      <c r="B1498" s="3"/>
      <c r="C1498" s="18"/>
      <c r="D1498" s="18"/>
      <c r="E1498" s="19"/>
      <c r="F1498" s="19"/>
      <c r="G1498" s="20"/>
      <c r="H1498" s="3"/>
      <c r="I1498" s="19"/>
      <c r="J1498" s="19"/>
      <c r="K1498" s="19"/>
      <c r="L1498" s="19"/>
      <c r="M1498" s="19"/>
      <c r="N1498" s="19"/>
      <c r="O1498" s="19"/>
      <c r="P1498" s="19"/>
      <c r="Q1498" s="19"/>
      <c r="R1498" s="19"/>
      <c r="S1498" s="19"/>
      <c r="T1498" s="19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</row>
    <row r="1499" spans="1:34" ht="15.75" customHeight="1" x14ac:dyDescent="0.25">
      <c r="A1499" s="3"/>
      <c r="B1499" s="3"/>
      <c r="C1499" s="18"/>
      <c r="D1499" s="18"/>
      <c r="E1499" s="19"/>
      <c r="F1499" s="19"/>
      <c r="G1499" s="20"/>
      <c r="H1499" s="3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T1499" s="19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</row>
    <row r="1500" spans="1:34" ht="15.75" customHeight="1" x14ac:dyDescent="0.25">
      <c r="A1500" s="3"/>
      <c r="B1500" s="3"/>
      <c r="C1500" s="18"/>
      <c r="D1500" s="18"/>
      <c r="E1500" s="19"/>
      <c r="F1500" s="19"/>
      <c r="G1500" s="20"/>
      <c r="H1500" s="3"/>
      <c r="I1500" s="19"/>
      <c r="J1500" s="19"/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</row>
    <row r="1501" spans="1:34" ht="15.75" customHeight="1" x14ac:dyDescent="0.25">
      <c r="A1501" s="3"/>
      <c r="B1501" s="3"/>
      <c r="C1501" s="18"/>
      <c r="D1501" s="18"/>
      <c r="E1501" s="19"/>
      <c r="F1501" s="19"/>
      <c r="G1501" s="20"/>
      <c r="H1501" s="3"/>
      <c r="I1501" s="19"/>
      <c r="J1501" s="19"/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</row>
    <row r="1502" spans="1:34" ht="15.75" customHeight="1" x14ac:dyDescent="0.25">
      <c r="A1502" s="3"/>
      <c r="B1502" s="3"/>
      <c r="C1502" s="18"/>
      <c r="D1502" s="18"/>
      <c r="E1502" s="19"/>
      <c r="F1502" s="19"/>
      <c r="G1502" s="20"/>
      <c r="H1502" s="3"/>
      <c r="I1502" s="19"/>
      <c r="J1502" s="19"/>
      <c r="K1502" s="19"/>
      <c r="L1502" s="19"/>
      <c r="M1502" s="19"/>
      <c r="N1502" s="19"/>
      <c r="O1502" s="19"/>
      <c r="P1502" s="19"/>
      <c r="Q1502" s="19"/>
      <c r="R1502" s="19"/>
      <c r="S1502" s="19"/>
      <c r="T1502" s="19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</row>
    <row r="1503" spans="1:34" ht="15.75" customHeight="1" x14ac:dyDescent="0.25">
      <c r="A1503" s="3"/>
      <c r="B1503" s="3"/>
      <c r="C1503" s="18"/>
      <c r="D1503" s="18"/>
      <c r="E1503" s="19"/>
      <c r="F1503" s="19"/>
      <c r="G1503" s="20"/>
      <c r="H1503" s="3"/>
      <c r="I1503" s="19"/>
      <c r="J1503" s="19"/>
      <c r="K1503" s="19"/>
      <c r="L1503" s="19"/>
      <c r="M1503" s="19"/>
      <c r="N1503" s="19"/>
      <c r="O1503" s="19"/>
      <c r="P1503" s="19"/>
      <c r="Q1503" s="19"/>
      <c r="R1503" s="19"/>
      <c r="S1503" s="19"/>
      <c r="T1503" s="19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</row>
    <row r="1504" spans="1:34" ht="15.75" customHeight="1" x14ac:dyDescent="0.25">
      <c r="A1504" s="3"/>
      <c r="B1504" s="3"/>
      <c r="C1504" s="18"/>
      <c r="D1504" s="18"/>
      <c r="E1504" s="19"/>
      <c r="F1504" s="19"/>
      <c r="G1504" s="20"/>
      <c r="H1504" s="3"/>
      <c r="I1504" s="19"/>
      <c r="J1504" s="19"/>
      <c r="K1504" s="19"/>
      <c r="L1504" s="19"/>
      <c r="M1504" s="19"/>
      <c r="N1504" s="19"/>
      <c r="O1504" s="19"/>
      <c r="P1504" s="19"/>
      <c r="Q1504" s="19"/>
      <c r="R1504" s="19"/>
      <c r="S1504" s="19"/>
      <c r="T1504" s="19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</row>
    <row r="1505" spans="1:34" ht="15.75" customHeight="1" x14ac:dyDescent="0.25">
      <c r="A1505" s="3"/>
      <c r="B1505" s="3"/>
      <c r="C1505" s="18"/>
      <c r="D1505" s="18"/>
      <c r="E1505" s="19"/>
      <c r="F1505" s="19"/>
      <c r="G1505" s="20"/>
      <c r="H1505" s="3"/>
      <c r="I1505" s="19"/>
      <c r="J1505" s="19"/>
      <c r="K1505" s="19"/>
      <c r="L1505" s="19"/>
      <c r="M1505" s="19"/>
      <c r="N1505" s="19"/>
      <c r="O1505" s="19"/>
      <c r="P1505" s="19"/>
      <c r="Q1505" s="19"/>
      <c r="R1505" s="19"/>
      <c r="S1505" s="19"/>
      <c r="T1505" s="19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</row>
    <row r="1506" spans="1:34" ht="15.75" customHeight="1" x14ac:dyDescent="0.25">
      <c r="A1506" s="3"/>
      <c r="B1506" s="3"/>
      <c r="C1506" s="18"/>
      <c r="D1506" s="18"/>
      <c r="E1506" s="19"/>
      <c r="F1506" s="19"/>
      <c r="G1506" s="20"/>
      <c r="H1506" s="3"/>
      <c r="I1506" s="19"/>
      <c r="J1506" s="19"/>
      <c r="K1506" s="19"/>
      <c r="L1506" s="19"/>
      <c r="M1506" s="19"/>
      <c r="N1506" s="19"/>
      <c r="O1506" s="19"/>
      <c r="P1506" s="19"/>
      <c r="Q1506" s="19"/>
      <c r="R1506" s="19"/>
      <c r="S1506" s="19"/>
      <c r="T1506" s="19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</row>
    <row r="1507" spans="1:34" ht="15.75" customHeight="1" x14ac:dyDescent="0.25">
      <c r="A1507" s="3"/>
      <c r="B1507" s="3"/>
      <c r="C1507" s="18"/>
      <c r="D1507" s="18"/>
      <c r="E1507" s="19"/>
      <c r="F1507" s="19"/>
      <c r="G1507" s="20"/>
      <c r="H1507" s="3"/>
      <c r="I1507" s="19"/>
      <c r="J1507" s="19"/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</row>
    <row r="1508" spans="1:34" ht="15.75" customHeight="1" x14ac:dyDescent="0.25">
      <c r="A1508" s="3"/>
      <c r="B1508" s="3"/>
      <c r="C1508" s="18"/>
      <c r="D1508" s="18"/>
      <c r="E1508" s="19"/>
      <c r="F1508" s="19"/>
      <c r="G1508" s="20"/>
      <c r="H1508" s="3"/>
      <c r="I1508" s="19"/>
      <c r="J1508" s="19"/>
      <c r="K1508" s="19"/>
      <c r="L1508" s="19"/>
      <c r="M1508" s="19"/>
      <c r="N1508" s="19"/>
      <c r="O1508" s="19"/>
      <c r="P1508" s="19"/>
      <c r="Q1508" s="19"/>
      <c r="R1508" s="19"/>
      <c r="S1508" s="19"/>
      <c r="T1508" s="19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</row>
    <row r="1509" spans="1:34" ht="15.75" customHeight="1" x14ac:dyDescent="0.25">
      <c r="A1509" s="3"/>
      <c r="B1509" s="3"/>
      <c r="C1509" s="18"/>
      <c r="D1509" s="18"/>
      <c r="E1509" s="19"/>
      <c r="F1509" s="19"/>
      <c r="G1509" s="20"/>
      <c r="H1509" s="3"/>
      <c r="I1509" s="19"/>
      <c r="J1509" s="19"/>
      <c r="K1509" s="19"/>
      <c r="L1509" s="19"/>
      <c r="M1509" s="19"/>
      <c r="N1509" s="19"/>
      <c r="O1509" s="19"/>
      <c r="P1509" s="19"/>
      <c r="Q1509" s="19"/>
      <c r="R1509" s="19"/>
      <c r="S1509" s="19"/>
      <c r="T1509" s="19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</row>
    <row r="1510" spans="1:34" ht="15.75" customHeight="1" x14ac:dyDescent="0.25">
      <c r="A1510" s="3"/>
      <c r="B1510" s="3"/>
      <c r="C1510" s="18"/>
      <c r="D1510" s="18"/>
      <c r="E1510" s="19"/>
      <c r="F1510" s="19"/>
      <c r="G1510" s="20"/>
      <c r="H1510" s="3"/>
      <c r="I1510" s="19"/>
      <c r="J1510" s="19"/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</row>
    <row r="1511" spans="1:34" ht="15.75" customHeight="1" x14ac:dyDescent="0.25">
      <c r="A1511" s="3"/>
      <c r="B1511" s="3"/>
      <c r="C1511" s="18"/>
      <c r="D1511" s="18"/>
      <c r="E1511" s="19"/>
      <c r="F1511" s="19"/>
      <c r="G1511" s="20"/>
      <c r="H1511" s="3"/>
      <c r="I1511" s="19"/>
      <c r="J1511" s="19"/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</row>
    <row r="1512" spans="1:34" ht="15.75" customHeight="1" x14ac:dyDescent="0.25">
      <c r="A1512" s="3"/>
      <c r="B1512" s="3"/>
      <c r="C1512" s="18"/>
      <c r="D1512" s="18"/>
      <c r="E1512" s="19"/>
      <c r="F1512" s="19"/>
      <c r="G1512" s="20"/>
      <c r="H1512" s="3"/>
      <c r="I1512" s="19"/>
      <c r="J1512" s="19"/>
      <c r="K1512" s="19"/>
      <c r="L1512" s="19"/>
      <c r="M1512" s="19"/>
      <c r="N1512" s="19"/>
      <c r="O1512" s="19"/>
      <c r="P1512" s="19"/>
      <c r="Q1512" s="19"/>
      <c r="R1512" s="19"/>
      <c r="S1512" s="19"/>
      <c r="T1512" s="19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</row>
    <row r="1513" spans="1:34" ht="15.75" customHeight="1" x14ac:dyDescent="0.25">
      <c r="A1513" s="3"/>
      <c r="B1513" s="3"/>
      <c r="C1513" s="18"/>
      <c r="D1513" s="18"/>
      <c r="E1513" s="19"/>
      <c r="F1513" s="19"/>
      <c r="G1513" s="20"/>
      <c r="H1513" s="3"/>
      <c r="I1513" s="19"/>
      <c r="J1513" s="19"/>
      <c r="K1513" s="19"/>
      <c r="L1513" s="19"/>
      <c r="M1513" s="19"/>
      <c r="N1513" s="19"/>
      <c r="O1513" s="19"/>
      <c r="P1513" s="19"/>
      <c r="Q1513" s="19"/>
      <c r="R1513" s="19"/>
      <c r="S1513" s="19"/>
      <c r="T1513" s="19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</row>
    <row r="1514" spans="1:34" ht="15.75" customHeight="1" x14ac:dyDescent="0.25">
      <c r="A1514" s="3"/>
      <c r="B1514" s="3"/>
      <c r="C1514" s="18"/>
      <c r="D1514" s="18"/>
      <c r="E1514" s="19"/>
      <c r="F1514" s="19"/>
      <c r="G1514" s="20"/>
      <c r="H1514" s="3"/>
      <c r="I1514" s="19"/>
      <c r="J1514" s="19"/>
      <c r="K1514" s="19"/>
      <c r="L1514" s="19"/>
      <c r="M1514" s="19"/>
      <c r="N1514" s="19"/>
      <c r="O1514" s="19"/>
      <c r="P1514" s="19"/>
      <c r="Q1514" s="19"/>
      <c r="R1514" s="19"/>
      <c r="S1514" s="19"/>
      <c r="T1514" s="19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</row>
    <row r="1515" spans="1:34" ht="15.75" customHeight="1" x14ac:dyDescent="0.25">
      <c r="A1515" s="3"/>
      <c r="B1515" s="3"/>
      <c r="C1515" s="18"/>
      <c r="D1515" s="18"/>
      <c r="E1515" s="19"/>
      <c r="F1515" s="19"/>
      <c r="G1515" s="20"/>
      <c r="H1515" s="3"/>
      <c r="I1515" s="19"/>
      <c r="J1515" s="19"/>
      <c r="K1515" s="19"/>
      <c r="L1515" s="19"/>
      <c r="M1515" s="19"/>
      <c r="N1515" s="19"/>
      <c r="O1515" s="19"/>
      <c r="P1515" s="19"/>
      <c r="Q1515" s="19"/>
      <c r="R1515" s="19"/>
      <c r="S1515" s="19"/>
      <c r="T1515" s="19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</row>
    <row r="1516" spans="1:34" ht="15.75" customHeight="1" x14ac:dyDescent="0.25">
      <c r="A1516" s="3"/>
      <c r="B1516" s="3"/>
      <c r="C1516" s="18"/>
      <c r="D1516" s="18"/>
      <c r="E1516" s="19"/>
      <c r="F1516" s="19"/>
      <c r="G1516" s="20"/>
      <c r="H1516" s="3"/>
      <c r="I1516" s="19"/>
      <c r="J1516" s="19"/>
      <c r="K1516" s="19"/>
      <c r="L1516" s="19"/>
      <c r="M1516" s="19"/>
      <c r="N1516" s="19"/>
      <c r="O1516" s="19"/>
      <c r="P1516" s="19"/>
      <c r="Q1516" s="19"/>
      <c r="R1516" s="19"/>
      <c r="S1516" s="19"/>
      <c r="T1516" s="19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</row>
    <row r="1517" spans="1:34" ht="15.75" customHeight="1" x14ac:dyDescent="0.25">
      <c r="A1517" s="3"/>
      <c r="B1517" s="3"/>
      <c r="C1517" s="18"/>
      <c r="D1517" s="18"/>
      <c r="E1517" s="19"/>
      <c r="F1517" s="19"/>
      <c r="G1517" s="20"/>
      <c r="H1517" s="3"/>
      <c r="I1517" s="19"/>
      <c r="J1517" s="19"/>
      <c r="K1517" s="19"/>
      <c r="L1517" s="19"/>
      <c r="M1517" s="19"/>
      <c r="N1517" s="19"/>
      <c r="O1517" s="19"/>
      <c r="P1517" s="19"/>
      <c r="Q1517" s="19"/>
      <c r="R1517" s="19"/>
      <c r="S1517" s="19"/>
      <c r="T1517" s="19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</row>
    <row r="1518" spans="1:34" ht="15.75" customHeight="1" x14ac:dyDescent="0.25">
      <c r="A1518" s="3"/>
      <c r="B1518" s="3"/>
      <c r="C1518" s="18"/>
      <c r="D1518" s="18"/>
      <c r="E1518" s="19"/>
      <c r="F1518" s="19"/>
      <c r="G1518" s="20"/>
      <c r="H1518" s="3"/>
      <c r="I1518" s="19"/>
      <c r="J1518" s="19"/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</row>
    <row r="1519" spans="1:34" ht="15.75" customHeight="1" x14ac:dyDescent="0.25">
      <c r="A1519" s="3"/>
      <c r="B1519" s="3"/>
      <c r="C1519" s="18"/>
      <c r="D1519" s="18"/>
      <c r="E1519" s="19"/>
      <c r="F1519" s="19"/>
      <c r="G1519" s="20"/>
      <c r="H1519" s="3"/>
      <c r="I1519" s="19"/>
      <c r="J1519" s="19"/>
      <c r="K1519" s="19"/>
      <c r="L1519" s="19"/>
      <c r="M1519" s="19"/>
      <c r="N1519" s="19"/>
      <c r="O1519" s="19"/>
      <c r="P1519" s="19"/>
      <c r="Q1519" s="19"/>
      <c r="R1519" s="19"/>
      <c r="S1519" s="19"/>
      <c r="T1519" s="19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</row>
    <row r="1520" spans="1:34" ht="15.75" customHeight="1" x14ac:dyDescent="0.25">
      <c r="A1520" s="3"/>
      <c r="B1520" s="3"/>
      <c r="C1520" s="18"/>
      <c r="D1520" s="18"/>
      <c r="E1520" s="19"/>
      <c r="F1520" s="19"/>
      <c r="G1520" s="20"/>
      <c r="H1520" s="3"/>
      <c r="I1520" s="19"/>
      <c r="J1520" s="19"/>
      <c r="K1520" s="19"/>
      <c r="L1520" s="19"/>
      <c r="M1520" s="19"/>
      <c r="N1520" s="19"/>
      <c r="O1520" s="19"/>
      <c r="P1520" s="19"/>
      <c r="Q1520" s="19"/>
      <c r="R1520" s="19"/>
      <c r="S1520" s="19"/>
      <c r="T1520" s="19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</row>
    <row r="1521" spans="1:34" ht="15.75" customHeight="1" x14ac:dyDescent="0.25">
      <c r="A1521" s="3"/>
      <c r="B1521" s="3"/>
      <c r="C1521" s="18"/>
      <c r="D1521" s="18"/>
      <c r="E1521" s="19"/>
      <c r="F1521" s="19"/>
      <c r="G1521" s="20"/>
      <c r="H1521" s="3"/>
      <c r="I1521" s="19"/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</row>
    <row r="1522" spans="1:34" ht="15.75" customHeight="1" x14ac:dyDescent="0.25">
      <c r="A1522" s="3"/>
      <c r="B1522" s="3"/>
      <c r="C1522" s="18"/>
      <c r="D1522" s="18"/>
      <c r="E1522" s="19"/>
      <c r="F1522" s="19"/>
      <c r="G1522" s="20"/>
      <c r="H1522" s="3"/>
      <c r="I1522" s="19"/>
      <c r="J1522" s="19"/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</row>
    <row r="1523" spans="1:34" ht="15.75" customHeight="1" x14ac:dyDescent="0.25">
      <c r="A1523" s="3"/>
      <c r="B1523" s="3"/>
      <c r="C1523" s="18"/>
      <c r="D1523" s="18"/>
      <c r="E1523" s="19"/>
      <c r="F1523" s="19"/>
      <c r="G1523" s="20"/>
      <c r="H1523" s="3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</row>
    <row r="1524" spans="1:34" ht="15.75" customHeight="1" x14ac:dyDescent="0.25">
      <c r="A1524" s="3"/>
      <c r="B1524" s="3"/>
      <c r="C1524" s="18"/>
      <c r="D1524" s="18"/>
      <c r="E1524" s="19"/>
      <c r="F1524" s="19"/>
      <c r="G1524" s="20"/>
      <c r="H1524" s="3"/>
      <c r="I1524" s="19"/>
      <c r="J1524" s="19"/>
      <c r="K1524" s="19"/>
      <c r="L1524" s="19"/>
      <c r="M1524" s="19"/>
      <c r="N1524" s="19"/>
      <c r="O1524" s="19"/>
      <c r="P1524" s="19"/>
      <c r="Q1524" s="19"/>
      <c r="R1524" s="19"/>
      <c r="S1524" s="19"/>
      <c r="T1524" s="19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</row>
    <row r="1525" spans="1:34" ht="15.75" customHeight="1" x14ac:dyDescent="0.25">
      <c r="A1525" s="3"/>
      <c r="B1525" s="3"/>
      <c r="C1525" s="18"/>
      <c r="D1525" s="18"/>
      <c r="E1525" s="19"/>
      <c r="F1525" s="19"/>
      <c r="G1525" s="20"/>
      <c r="H1525" s="3"/>
      <c r="I1525" s="19"/>
      <c r="J1525" s="19"/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</row>
    <row r="1526" spans="1:34" ht="15.75" customHeight="1" x14ac:dyDescent="0.25">
      <c r="A1526" s="3"/>
      <c r="B1526" s="3"/>
      <c r="C1526" s="18"/>
      <c r="D1526" s="18"/>
      <c r="E1526" s="19"/>
      <c r="F1526" s="19"/>
      <c r="G1526" s="20"/>
      <c r="H1526" s="3"/>
      <c r="I1526" s="19"/>
      <c r="J1526" s="19"/>
      <c r="K1526" s="19"/>
      <c r="L1526" s="19"/>
      <c r="M1526" s="19"/>
      <c r="N1526" s="19"/>
      <c r="O1526" s="19"/>
      <c r="P1526" s="19"/>
      <c r="Q1526" s="19"/>
      <c r="R1526" s="19"/>
      <c r="S1526" s="19"/>
      <c r="T1526" s="19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</row>
    <row r="1527" spans="1:34" ht="15.75" customHeight="1" x14ac:dyDescent="0.25">
      <c r="A1527" s="3"/>
      <c r="B1527" s="3"/>
      <c r="C1527" s="18"/>
      <c r="D1527" s="18"/>
      <c r="E1527" s="19"/>
      <c r="F1527" s="19"/>
      <c r="G1527" s="20"/>
      <c r="H1527" s="3"/>
      <c r="I1527" s="19"/>
      <c r="J1527" s="19"/>
      <c r="K1527" s="19"/>
      <c r="L1527" s="19"/>
      <c r="M1527" s="19"/>
      <c r="N1527" s="19"/>
      <c r="O1527" s="19"/>
      <c r="P1527" s="19"/>
      <c r="Q1527" s="19"/>
      <c r="R1527" s="19"/>
      <c r="S1527" s="19"/>
      <c r="T1527" s="19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</row>
    <row r="1528" spans="1:34" ht="15.75" customHeight="1" x14ac:dyDescent="0.25">
      <c r="A1528" s="3"/>
      <c r="B1528" s="3"/>
      <c r="C1528" s="18"/>
      <c r="D1528" s="18"/>
      <c r="E1528" s="19"/>
      <c r="F1528" s="19"/>
      <c r="G1528" s="20"/>
      <c r="H1528" s="3"/>
      <c r="I1528" s="19"/>
      <c r="J1528" s="19"/>
      <c r="K1528" s="19"/>
      <c r="L1528" s="19"/>
      <c r="M1528" s="19"/>
      <c r="N1528" s="19"/>
      <c r="O1528" s="19"/>
      <c r="P1528" s="19"/>
      <c r="Q1528" s="19"/>
      <c r="R1528" s="19"/>
      <c r="S1528" s="19"/>
      <c r="T1528" s="19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</row>
    <row r="1529" spans="1:34" ht="15.75" customHeight="1" x14ac:dyDescent="0.25">
      <c r="A1529" s="3"/>
      <c r="B1529" s="3"/>
      <c r="C1529" s="18"/>
      <c r="D1529" s="18"/>
      <c r="E1529" s="19"/>
      <c r="F1529" s="19"/>
      <c r="G1529" s="20"/>
      <c r="H1529" s="3"/>
      <c r="I1529" s="19"/>
      <c r="J1529" s="19"/>
      <c r="K1529" s="19"/>
      <c r="L1529" s="19"/>
      <c r="M1529" s="19"/>
      <c r="N1529" s="19"/>
      <c r="O1529" s="19"/>
      <c r="P1529" s="19"/>
      <c r="Q1529" s="19"/>
      <c r="R1529" s="19"/>
      <c r="S1529" s="19"/>
      <c r="T1529" s="19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</row>
    <row r="1530" spans="1:34" ht="15.75" customHeight="1" x14ac:dyDescent="0.25">
      <c r="A1530" s="3"/>
      <c r="B1530" s="3"/>
      <c r="C1530" s="18"/>
      <c r="D1530" s="18"/>
      <c r="E1530" s="19"/>
      <c r="F1530" s="19"/>
      <c r="G1530" s="20"/>
      <c r="H1530" s="3"/>
      <c r="I1530" s="19"/>
      <c r="J1530" s="19"/>
      <c r="K1530" s="19"/>
      <c r="L1530" s="19"/>
      <c r="M1530" s="19"/>
      <c r="N1530" s="19"/>
      <c r="O1530" s="19"/>
      <c r="P1530" s="19"/>
      <c r="Q1530" s="19"/>
      <c r="R1530" s="19"/>
      <c r="S1530" s="19"/>
      <c r="T1530" s="19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</row>
    <row r="1531" spans="1:34" ht="15.75" customHeight="1" x14ac:dyDescent="0.25">
      <c r="A1531" s="3"/>
      <c r="B1531" s="3"/>
      <c r="C1531" s="18"/>
      <c r="D1531" s="18"/>
      <c r="E1531" s="19"/>
      <c r="F1531" s="19"/>
      <c r="G1531" s="20"/>
      <c r="H1531" s="3"/>
      <c r="I1531" s="19"/>
      <c r="J1531" s="19"/>
      <c r="K1531" s="19"/>
      <c r="L1531" s="19"/>
      <c r="M1531" s="19"/>
      <c r="N1531" s="19"/>
      <c r="O1531" s="19"/>
      <c r="P1531" s="19"/>
      <c r="Q1531" s="19"/>
      <c r="R1531" s="19"/>
      <c r="S1531" s="19"/>
      <c r="T1531" s="19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</row>
    <row r="1532" spans="1:34" ht="15.75" customHeight="1" x14ac:dyDescent="0.25">
      <c r="A1532" s="3"/>
      <c r="B1532" s="3"/>
      <c r="C1532" s="18"/>
      <c r="D1532" s="18"/>
      <c r="E1532" s="19"/>
      <c r="F1532" s="19"/>
      <c r="G1532" s="20"/>
      <c r="H1532" s="3"/>
      <c r="I1532" s="19"/>
      <c r="J1532" s="19"/>
      <c r="K1532" s="19"/>
      <c r="L1532" s="19"/>
      <c r="M1532" s="19"/>
      <c r="N1532" s="19"/>
      <c r="O1532" s="19"/>
      <c r="P1532" s="19"/>
      <c r="Q1532" s="19"/>
      <c r="R1532" s="19"/>
      <c r="S1532" s="19"/>
      <c r="T1532" s="19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</row>
    <row r="1533" spans="1:34" ht="15.75" customHeight="1" x14ac:dyDescent="0.25">
      <c r="A1533" s="3"/>
      <c r="B1533" s="3"/>
      <c r="C1533" s="18"/>
      <c r="D1533" s="18"/>
      <c r="E1533" s="19"/>
      <c r="F1533" s="19"/>
      <c r="G1533" s="20"/>
      <c r="H1533" s="3"/>
      <c r="I1533" s="19"/>
      <c r="J1533" s="19"/>
      <c r="K1533" s="19"/>
      <c r="L1533" s="19"/>
      <c r="M1533" s="19"/>
      <c r="N1533" s="19"/>
      <c r="O1533" s="19"/>
      <c r="P1533" s="19"/>
      <c r="Q1533" s="19"/>
      <c r="R1533" s="19"/>
      <c r="S1533" s="19"/>
      <c r="T1533" s="19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</row>
    <row r="1534" spans="1:34" ht="15.75" customHeight="1" x14ac:dyDescent="0.25">
      <c r="A1534" s="3"/>
      <c r="B1534" s="3"/>
      <c r="C1534" s="18"/>
      <c r="D1534" s="18"/>
      <c r="E1534" s="19"/>
      <c r="F1534" s="19"/>
      <c r="G1534" s="20"/>
      <c r="H1534" s="3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  <c r="S1534" s="19"/>
      <c r="T1534" s="19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</row>
    <row r="1535" spans="1:34" ht="15.75" customHeight="1" x14ac:dyDescent="0.25">
      <c r="A1535" s="3"/>
      <c r="B1535" s="3"/>
      <c r="C1535" s="18"/>
      <c r="D1535" s="18"/>
      <c r="E1535" s="19"/>
      <c r="F1535" s="19"/>
      <c r="G1535" s="20"/>
      <c r="H1535" s="3"/>
      <c r="I1535" s="19"/>
      <c r="J1535" s="19"/>
      <c r="K1535" s="19"/>
      <c r="L1535" s="19"/>
      <c r="M1535" s="19"/>
      <c r="N1535" s="19"/>
      <c r="O1535" s="19"/>
      <c r="P1535" s="19"/>
      <c r="Q1535" s="19"/>
      <c r="R1535" s="19"/>
      <c r="S1535" s="19"/>
      <c r="T1535" s="19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</row>
    <row r="1536" spans="1:34" ht="15.75" customHeight="1" x14ac:dyDescent="0.25">
      <c r="A1536" s="3"/>
      <c r="B1536" s="3"/>
      <c r="C1536" s="18"/>
      <c r="D1536" s="18"/>
      <c r="E1536" s="19"/>
      <c r="F1536" s="19"/>
      <c r="G1536" s="20"/>
      <c r="H1536" s="3"/>
      <c r="I1536" s="19"/>
      <c r="J1536" s="19"/>
      <c r="K1536" s="19"/>
      <c r="L1536" s="19"/>
      <c r="M1536" s="19"/>
      <c r="N1536" s="19"/>
      <c r="O1536" s="19"/>
      <c r="P1536" s="19"/>
      <c r="Q1536" s="19"/>
      <c r="R1536" s="19"/>
      <c r="S1536" s="19"/>
      <c r="T1536" s="19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</row>
    <row r="1537" spans="1:34" ht="15.75" customHeight="1" x14ac:dyDescent="0.25">
      <c r="A1537" s="3"/>
      <c r="B1537" s="3"/>
      <c r="C1537" s="18"/>
      <c r="D1537" s="18"/>
      <c r="E1537" s="19"/>
      <c r="F1537" s="19"/>
      <c r="G1537" s="20"/>
      <c r="H1537" s="3"/>
      <c r="I1537" s="19"/>
      <c r="J1537" s="19"/>
      <c r="K1537" s="19"/>
      <c r="L1537" s="19"/>
      <c r="M1537" s="19"/>
      <c r="N1537" s="19"/>
      <c r="O1537" s="19"/>
      <c r="P1537" s="19"/>
      <c r="Q1537" s="19"/>
      <c r="R1537" s="19"/>
      <c r="S1537" s="19"/>
      <c r="T1537" s="19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</row>
    <row r="1538" spans="1:34" ht="15.75" customHeight="1" x14ac:dyDescent="0.25">
      <c r="A1538" s="3"/>
      <c r="B1538" s="3"/>
      <c r="C1538" s="18"/>
      <c r="D1538" s="18"/>
      <c r="E1538" s="19"/>
      <c r="F1538" s="19"/>
      <c r="G1538" s="20"/>
      <c r="H1538" s="3"/>
      <c r="I1538" s="19"/>
      <c r="J1538" s="19"/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</row>
    <row r="1539" spans="1:34" ht="15.75" customHeight="1" x14ac:dyDescent="0.25">
      <c r="A1539" s="3"/>
      <c r="B1539" s="3"/>
      <c r="C1539" s="18"/>
      <c r="D1539" s="18"/>
      <c r="E1539" s="19"/>
      <c r="F1539" s="19"/>
      <c r="G1539" s="20"/>
      <c r="H1539" s="3"/>
      <c r="I1539" s="19"/>
      <c r="J1539" s="19"/>
      <c r="K1539" s="19"/>
      <c r="L1539" s="19"/>
      <c r="M1539" s="19"/>
      <c r="N1539" s="19"/>
      <c r="O1539" s="19"/>
      <c r="P1539" s="19"/>
      <c r="Q1539" s="19"/>
      <c r="R1539" s="19"/>
      <c r="S1539" s="19"/>
      <c r="T1539" s="19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</row>
    <row r="1540" spans="1:34" ht="15.75" customHeight="1" x14ac:dyDescent="0.25">
      <c r="A1540" s="3"/>
      <c r="B1540" s="3"/>
      <c r="C1540" s="18"/>
      <c r="D1540" s="18"/>
      <c r="E1540" s="19"/>
      <c r="F1540" s="19"/>
      <c r="G1540" s="20"/>
      <c r="H1540" s="3"/>
      <c r="I1540" s="19"/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</row>
    <row r="1541" spans="1:34" ht="15.75" customHeight="1" x14ac:dyDescent="0.25">
      <c r="A1541" s="3"/>
      <c r="B1541" s="3"/>
      <c r="C1541" s="18"/>
      <c r="D1541" s="18"/>
      <c r="E1541" s="19"/>
      <c r="F1541" s="19"/>
      <c r="G1541" s="20"/>
      <c r="H1541" s="3"/>
      <c r="I1541" s="19"/>
      <c r="J1541" s="19"/>
      <c r="K1541" s="19"/>
      <c r="L1541" s="19"/>
      <c r="M1541" s="19"/>
      <c r="N1541" s="19"/>
      <c r="O1541" s="19"/>
      <c r="P1541" s="19"/>
      <c r="Q1541" s="19"/>
      <c r="R1541" s="19"/>
      <c r="S1541" s="19"/>
      <c r="T1541" s="19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</row>
    <row r="1542" spans="1:34" ht="15.75" customHeight="1" x14ac:dyDescent="0.25">
      <c r="A1542" s="3"/>
      <c r="B1542" s="3"/>
      <c r="C1542" s="18"/>
      <c r="D1542" s="18"/>
      <c r="E1542" s="19"/>
      <c r="F1542" s="19"/>
      <c r="G1542" s="20"/>
      <c r="H1542" s="3"/>
      <c r="I1542" s="19"/>
      <c r="J1542" s="19"/>
      <c r="K1542" s="19"/>
      <c r="L1542" s="19"/>
      <c r="M1542" s="19"/>
      <c r="N1542" s="19"/>
      <c r="O1542" s="19"/>
      <c r="P1542" s="19"/>
      <c r="Q1542" s="19"/>
      <c r="R1542" s="19"/>
      <c r="S1542" s="19"/>
      <c r="T1542" s="19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</row>
    <row r="1543" spans="1:34" ht="15.75" customHeight="1" x14ac:dyDescent="0.25">
      <c r="A1543" s="3"/>
      <c r="B1543" s="3"/>
      <c r="C1543" s="18"/>
      <c r="D1543" s="18"/>
      <c r="E1543" s="19"/>
      <c r="F1543" s="19"/>
      <c r="G1543" s="20"/>
      <c r="H1543" s="3"/>
      <c r="I1543" s="19"/>
      <c r="J1543" s="19"/>
      <c r="K1543" s="19"/>
      <c r="L1543" s="19"/>
      <c r="M1543" s="19"/>
      <c r="N1543" s="19"/>
      <c r="O1543" s="19"/>
      <c r="P1543" s="19"/>
      <c r="Q1543" s="19"/>
      <c r="R1543" s="19"/>
      <c r="S1543" s="19"/>
      <c r="T1543" s="19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</row>
    <row r="1544" spans="1:34" ht="15.75" customHeight="1" x14ac:dyDescent="0.25">
      <c r="A1544" s="3"/>
      <c r="B1544" s="3"/>
      <c r="C1544" s="18"/>
      <c r="D1544" s="18"/>
      <c r="E1544" s="19"/>
      <c r="F1544" s="19"/>
      <c r="G1544" s="20"/>
      <c r="H1544" s="3"/>
      <c r="I1544" s="19"/>
      <c r="J1544" s="19"/>
      <c r="K1544" s="19"/>
      <c r="L1544" s="19"/>
      <c r="M1544" s="19"/>
      <c r="N1544" s="19"/>
      <c r="O1544" s="19"/>
      <c r="P1544" s="19"/>
      <c r="Q1544" s="19"/>
      <c r="R1544" s="19"/>
      <c r="S1544" s="19"/>
      <c r="T1544" s="19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</row>
    <row r="1545" spans="1:34" ht="15.75" customHeight="1" x14ac:dyDescent="0.25">
      <c r="A1545" s="3"/>
      <c r="B1545" s="3"/>
      <c r="C1545" s="18"/>
      <c r="D1545" s="18"/>
      <c r="E1545" s="19"/>
      <c r="F1545" s="19"/>
      <c r="G1545" s="20"/>
      <c r="H1545" s="3"/>
      <c r="I1545" s="19"/>
      <c r="J1545" s="19"/>
      <c r="K1545" s="19"/>
      <c r="L1545" s="19"/>
      <c r="M1545" s="19"/>
      <c r="N1545" s="19"/>
      <c r="O1545" s="19"/>
      <c r="P1545" s="19"/>
      <c r="Q1545" s="19"/>
      <c r="R1545" s="19"/>
      <c r="S1545" s="19"/>
      <c r="T1545" s="19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</row>
    <row r="1546" spans="1:34" ht="15.75" customHeight="1" x14ac:dyDescent="0.25">
      <c r="A1546" s="3"/>
      <c r="B1546" s="3"/>
      <c r="C1546" s="18"/>
      <c r="D1546" s="18"/>
      <c r="E1546" s="19"/>
      <c r="F1546" s="19"/>
      <c r="G1546" s="20"/>
      <c r="H1546" s="3"/>
      <c r="I1546" s="19"/>
      <c r="J1546" s="19"/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</row>
    <row r="1547" spans="1:34" ht="15.75" customHeight="1" x14ac:dyDescent="0.25">
      <c r="A1547" s="3"/>
      <c r="B1547" s="3"/>
      <c r="C1547" s="18"/>
      <c r="D1547" s="18"/>
      <c r="E1547" s="19"/>
      <c r="F1547" s="19"/>
      <c r="G1547" s="20"/>
      <c r="H1547" s="3"/>
      <c r="I1547" s="19"/>
      <c r="J1547" s="19"/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</row>
    <row r="1548" spans="1:34" ht="15.75" customHeight="1" x14ac:dyDescent="0.25">
      <c r="A1548" s="3"/>
      <c r="B1548" s="3"/>
      <c r="C1548" s="18"/>
      <c r="D1548" s="18"/>
      <c r="E1548" s="19"/>
      <c r="F1548" s="19"/>
      <c r="G1548" s="20"/>
      <c r="H1548" s="3"/>
      <c r="I1548" s="19"/>
      <c r="J1548" s="19"/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</row>
    <row r="1549" spans="1:34" ht="15.75" customHeight="1" x14ac:dyDescent="0.25">
      <c r="A1549" s="3"/>
      <c r="B1549" s="3"/>
      <c r="C1549" s="18"/>
      <c r="D1549" s="18"/>
      <c r="E1549" s="19"/>
      <c r="F1549" s="19"/>
      <c r="G1549" s="20"/>
      <c r="H1549" s="3"/>
      <c r="I1549" s="19"/>
      <c r="J1549" s="19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</row>
    <row r="1550" spans="1:34" ht="15.75" customHeight="1" x14ac:dyDescent="0.25">
      <c r="A1550" s="3"/>
      <c r="B1550" s="3"/>
      <c r="C1550" s="18"/>
      <c r="D1550" s="18"/>
      <c r="E1550" s="19"/>
      <c r="F1550" s="19"/>
      <c r="G1550" s="20"/>
      <c r="H1550" s="3"/>
      <c r="I1550" s="19"/>
      <c r="J1550" s="19"/>
      <c r="K1550" s="19"/>
      <c r="L1550" s="19"/>
      <c r="M1550" s="19"/>
      <c r="N1550" s="19"/>
      <c r="O1550" s="19"/>
      <c r="P1550" s="19"/>
      <c r="Q1550" s="19"/>
      <c r="R1550" s="19"/>
      <c r="S1550" s="19"/>
      <c r="T1550" s="19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</row>
    <row r="1551" spans="1:34" ht="15.75" customHeight="1" x14ac:dyDescent="0.25">
      <c r="A1551" s="3"/>
      <c r="B1551" s="3"/>
      <c r="C1551" s="18"/>
      <c r="D1551" s="18"/>
      <c r="E1551" s="19"/>
      <c r="F1551" s="19"/>
      <c r="G1551" s="20"/>
      <c r="H1551" s="3"/>
      <c r="I1551" s="19"/>
      <c r="J1551" s="19"/>
      <c r="K1551" s="19"/>
      <c r="L1551" s="19"/>
      <c r="M1551" s="19"/>
      <c r="N1551" s="19"/>
      <c r="O1551" s="19"/>
      <c r="P1551" s="19"/>
      <c r="Q1551" s="19"/>
      <c r="R1551" s="19"/>
      <c r="S1551" s="19"/>
      <c r="T1551" s="19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</row>
    <row r="1552" spans="1:34" ht="15.75" customHeight="1" x14ac:dyDescent="0.25">
      <c r="A1552" s="3"/>
      <c r="B1552" s="3"/>
      <c r="C1552" s="18"/>
      <c r="D1552" s="18"/>
      <c r="E1552" s="19"/>
      <c r="F1552" s="19"/>
      <c r="G1552" s="20"/>
      <c r="H1552" s="3"/>
      <c r="I1552" s="19"/>
      <c r="J1552" s="19"/>
      <c r="K1552" s="19"/>
      <c r="L1552" s="19"/>
      <c r="M1552" s="19"/>
      <c r="N1552" s="19"/>
      <c r="O1552" s="19"/>
      <c r="P1552" s="19"/>
      <c r="Q1552" s="19"/>
      <c r="R1552" s="19"/>
      <c r="S1552" s="19"/>
      <c r="T1552" s="19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</row>
    <row r="1553" spans="1:34" ht="15.75" customHeight="1" x14ac:dyDescent="0.25">
      <c r="A1553" s="3"/>
      <c r="B1553" s="3"/>
      <c r="C1553" s="18"/>
      <c r="D1553" s="18"/>
      <c r="E1553" s="19"/>
      <c r="F1553" s="19"/>
      <c r="G1553" s="20"/>
      <c r="H1553" s="3"/>
      <c r="I1553" s="19"/>
      <c r="J1553" s="19"/>
      <c r="K1553" s="19"/>
      <c r="L1553" s="19"/>
      <c r="M1553" s="19"/>
      <c r="N1553" s="19"/>
      <c r="O1553" s="19"/>
      <c r="P1553" s="19"/>
      <c r="Q1553" s="19"/>
      <c r="R1553" s="19"/>
      <c r="S1553" s="19"/>
      <c r="T1553" s="19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</row>
    <row r="1554" spans="1:34" ht="15.75" customHeight="1" x14ac:dyDescent="0.25">
      <c r="A1554" s="3"/>
      <c r="B1554" s="3"/>
      <c r="C1554" s="18"/>
      <c r="D1554" s="18"/>
      <c r="E1554" s="19"/>
      <c r="F1554" s="19"/>
      <c r="G1554" s="20"/>
      <c r="H1554" s="3"/>
      <c r="I1554" s="19"/>
      <c r="J1554" s="19"/>
      <c r="K1554" s="19"/>
      <c r="L1554" s="19"/>
      <c r="M1554" s="19"/>
      <c r="N1554" s="19"/>
      <c r="O1554" s="19"/>
      <c r="P1554" s="19"/>
      <c r="Q1554" s="19"/>
      <c r="R1554" s="19"/>
      <c r="S1554" s="19"/>
      <c r="T1554" s="19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</row>
    <row r="1555" spans="1:34" ht="15.75" customHeight="1" x14ac:dyDescent="0.25">
      <c r="A1555" s="3"/>
      <c r="B1555" s="3"/>
      <c r="C1555" s="18"/>
      <c r="D1555" s="18"/>
      <c r="E1555" s="19"/>
      <c r="F1555" s="19"/>
      <c r="G1555" s="20"/>
      <c r="H1555" s="3"/>
      <c r="I1555" s="19"/>
      <c r="J1555" s="19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</row>
    <row r="1556" spans="1:34" ht="15.75" customHeight="1" x14ac:dyDescent="0.25">
      <c r="A1556" s="3"/>
      <c r="B1556" s="3"/>
      <c r="C1556" s="18"/>
      <c r="D1556" s="18"/>
      <c r="E1556" s="19"/>
      <c r="F1556" s="19"/>
      <c r="G1556" s="20"/>
      <c r="H1556" s="3"/>
      <c r="I1556" s="19"/>
      <c r="J1556" s="19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</row>
    <row r="1557" spans="1:34" ht="15.75" customHeight="1" x14ac:dyDescent="0.25">
      <c r="A1557" s="3"/>
      <c r="B1557" s="3"/>
      <c r="C1557" s="18"/>
      <c r="D1557" s="18"/>
      <c r="E1557" s="19"/>
      <c r="F1557" s="19"/>
      <c r="G1557" s="20"/>
      <c r="H1557" s="3"/>
      <c r="I1557" s="19"/>
      <c r="J1557" s="19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</row>
    <row r="1558" spans="1:34" ht="15.75" customHeight="1" x14ac:dyDescent="0.25">
      <c r="A1558" s="3"/>
      <c r="B1558" s="3"/>
      <c r="C1558" s="18"/>
      <c r="D1558" s="18"/>
      <c r="E1558" s="19"/>
      <c r="F1558" s="19"/>
      <c r="G1558" s="20"/>
      <c r="H1558" s="3"/>
      <c r="I1558" s="19"/>
      <c r="J1558" s="19"/>
      <c r="K1558" s="19"/>
      <c r="L1558" s="19"/>
      <c r="M1558" s="19"/>
      <c r="N1558" s="19"/>
      <c r="O1558" s="19"/>
      <c r="P1558" s="19"/>
      <c r="Q1558" s="19"/>
      <c r="R1558" s="19"/>
      <c r="S1558" s="19"/>
      <c r="T1558" s="19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</row>
    <row r="1559" spans="1:34" ht="15.75" customHeight="1" x14ac:dyDescent="0.25">
      <c r="A1559" s="3"/>
      <c r="B1559" s="3"/>
      <c r="C1559" s="18"/>
      <c r="D1559" s="18"/>
      <c r="E1559" s="19"/>
      <c r="F1559" s="19"/>
      <c r="G1559" s="20"/>
      <c r="H1559" s="3"/>
      <c r="I1559" s="19"/>
      <c r="J1559" s="19"/>
      <c r="K1559" s="19"/>
      <c r="L1559" s="19"/>
      <c r="M1559" s="19"/>
      <c r="N1559" s="19"/>
      <c r="O1559" s="19"/>
      <c r="P1559" s="19"/>
      <c r="Q1559" s="19"/>
      <c r="R1559" s="19"/>
      <c r="S1559" s="19"/>
      <c r="T1559" s="19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</row>
    <row r="1560" spans="1:34" ht="15.75" customHeight="1" x14ac:dyDescent="0.25">
      <c r="A1560" s="3"/>
      <c r="B1560" s="3"/>
      <c r="C1560" s="18"/>
      <c r="D1560" s="18"/>
      <c r="E1560" s="19"/>
      <c r="F1560" s="19"/>
      <c r="G1560" s="20"/>
      <c r="H1560" s="3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  <c r="S1560" s="19"/>
      <c r="T1560" s="19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</row>
    <row r="1561" spans="1:34" ht="15.75" customHeight="1" x14ac:dyDescent="0.25">
      <c r="A1561" s="3"/>
      <c r="B1561" s="3"/>
      <c r="C1561" s="18"/>
      <c r="D1561" s="18"/>
      <c r="E1561" s="19"/>
      <c r="F1561" s="19"/>
      <c r="G1561" s="20"/>
      <c r="H1561" s="3"/>
      <c r="I1561" s="19"/>
      <c r="J1561" s="19"/>
      <c r="K1561" s="19"/>
      <c r="L1561" s="19"/>
      <c r="M1561" s="19"/>
      <c r="N1561" s="19"/>
      <c r="O1561" s="19"/>
      <c r="P1561" s="19"/>
      <c r="Q1561" s="19"/>
      <c r="R1561" s="19"/>
      <c r="S1561" s="19"/>
      <c r="T1561" s="19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</row>
    <row r="1562" spans="1:34" ht="15.75" customHeight="1" x14ac:dyDescent="0.25">
      <c r="A1562" s="3"/>
      <c r="B1562" s="3"/>
      <c r="C1562" s="18"/>
      <c r="D1562" s="18"/>
      <c r="E1562" s="19"/>
      <c r="F1562" s="19"/>
      <c r="G1562" s="20"/>
      <c r="H1562" s="3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  <c r="S1562" s="19"/>
      <c r="T1562" s="19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</row>
    <row r="1563" spans="1:34" ht="15.75" customHeight="1" x14ac:dyDescent="0.25">
      <c r="A1563" s="3"/>
      <c r="B1563" s="3"/>
      <c r="C1563" s="18"/>
      <c r="D1563" s="18"/>
      <c r="E1563" s="19"/>
      <c r="F1563" s="19"/>
      <c r="G1563" s="20"/>
      <c r="H1563" s="3"/>
      <c r="I1563" s="19"/>
      <c r="J1563" s="19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</row>
    <row r="1564" spans="1:34" ht="15.75" customHeight="1" x14ac:dyDescent="0.25">
      <c r="A1564" s="3"/>
      <c r="B1564" s="3"/>
      <c r="C1564" s="18"/>
      <c r="D1564" s="18"/>
      <c r="E1564" s="19"/>
      <c r="F1564" s="19"/>
      <c r="G1564" s="20"/>
      <c r="H1564" s="3"/>
      <c r="I1564" s="19"/>
      <c r="J1564" s="19"/>
      <c r="K1564" s="19"/>
      <c r="L1564" s="19"/>
      <c r="M1564" s="19"/>
      <c r="N1564" s="19"/>
      <c r="O1564" s="19"/>
      <c r="P1564" s="19"/>
      <c r="Q1564" s="19"/>
      <c r="R1564" s="19"/>
      <c r="S1564" s="19"/>
      <c r="T1564" s="19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</row>
    <row r="1565" spans="1:34" ht="15.75" customHeight="1" x14ac:dyDescent="0.25">
      <c r="A1565" s="3"/>
      <c r="B1565" s="3"/>
      <c r="C1565" s="18"/>
      <c r="D1565" s="18"/>
      <c r="E1565" s="19"/>
      <c r="F1565" s="19"/>
      <c r="G1565" s="20"/>
      <c r="H1565" s="3"/>
      <c r="I1565" s="19"/>
      <c r="J1565" s="19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</row>
    <row r="1566" spans="1:34" ht="15.75" customHeight="1" x14ac:dyDescent="0.25">
      <c r="A1566" s="3"/>
      <c r="B1566" s="3"/>
      <c r="C1566" s="18"/>
      <c r="D1566" s="18"/>
      <c r="E1566" s="19"/>
      <c r="F1566" s="19"/>
      <c r="G1566" s="20"/>
      <c r="H1566" s="3"/>
      <c r="I1566" s="19"/>
      <c r="J1566" s="19"/>
      <c r="K1566" s="19"/>
      <c r="L1566" s="19"/>
      <c r="M1566" s="19"/>
      <c r="N1566" s="19"/>
      <c r="O1566" s="19"/>
      <c r="P1566" s="19"/>
      <c r="Q1566" s="19"/>
      <c r="R1566" s="19"/>
      <c r="S1566" s="19"/>
      <c r="T1566" s="19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</row>
    <row r="1567" spans="1:34" ht="15.75" customHeight="1" x14ac:dyDescent="0.25">
      <c r="A1567" s="3"/>
      <c r="B1567" s="3"/>
      <c r="C1567" s="18"/>
      <c r="D1567" s="18"/>
      <c r="E1567" s="19"/>
      <c r="F1567" s="19"/>
      <c r="G1567" s="20"/>
      <c r="H1567" s="3"/>
      <c r="I1567" s="19"/>
      <c r="J1567" s="19"/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</row>
    <row r="1568" spans="1:34" ht="15.75" customHeight="1" x14ac:dyDescent="0.25">
      <c r="A1568" s="3"/>
      <c r="B1568" s="3"/>
      <c r="C1568" s="18"/>
      <c r="D1568" s="18"/>
      <c r="E1568" s="19"/>
      <c r="F1568" s="19"/>
      <c r="G1568" s="20"/>
      <c r="H1568" s="3"/>
      <c r="I1568" s="19"/>
      <c r="J1568" s="19"/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</row>
    <row r="1569" spans="1:34" ht="15.75" customHeight="1" x14ac:dyDescent="0.25">
      <c r="A1569" s="3"/>
      <c r="B1569" s="3"/>
      <c r="C1569" s="18"/>
      <c r="D1569" s="18"/>
      <c r="E1569" s="19"/>
      <c r="F1569" s="19"/>
      <c r="G1569" s="20"/>
      <c r="H1569" s="3"/>
      <c r="I1569" s="19"/>
      <c r="J1569" s="19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</row>
    <row r="1570" spans="1:34" ht="15.75" customHeight="1" x14ac:dyDescent="0.25">
      <c r="A1570" s="3"/>
      <c r="B1570" s="3"/>
      <c r="C1570" s="18"/>
      <c r="D1570" s="18"/>
      <c r="E1570" s="19"/>
      <c r="F1570" s="19"/>
      <c r="G1570" s="20"/>
      <c r="H1570" s="3"/>
      <c r="I1570" s="19"/>
      <c r="J1570" s="19"/>
      <c r="K1570" s="19"/>
      <c r="L1570" s="19"/>
      <c r="M1570" s="19"/>
      <c r="N1570" s="19"/>
      <c r="O1570" s="19"/>
      <c r="P1570" s="19"/>
      <c r="Q1570" s="19"/>
      <c r="R1570" s="19"/>
      <c r="S1570" s="19"/>
      <c r="T1570" s="19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</row>
    <row r="1571" spans="1:34" ht="15.75" customHeight="1" x14ac:dyDescent="0.25">
      <c r="A1571" s="3"/>
      <c r="B1571" s="3"/>
      <c r="C1571" s="18"/>
      <c r="D1571" s="18"/>
      <c r="E1571" s="19"/>
      <c r="F1571" s="19"/>
      <c r="G1571" s="20"/>
      <c r="H1571" s="3"/>
      <c r="I1571" s="19"/>
      <c r="J1571" s="19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</row>
    <row r="1572" spans="1:34" ht="15.75" customHeight="1" x14ac:dyDescent="0.25">
      <c r="A1572" s="3"/>
      <c r="B1572" s="3"/>
      <c r="C1572" s="18"/>
      <c r="D1572" s="18"/>
      <c r="E1572" s="19"/>
      <c r="F1572" s="19"/>
      <c r="G1572" s="20"/>
      <c r="H1572" s="3"/>
      <c r="I1572" s="19"/>
      <c r="J1572" s="19"/>
      <c r="K1572" s="19"/>
      <c r="L1572" s="19"/>
      <c r="M1572" s="19"/>
      <c r="N1572" s="19"/>
      <c r="O1572" s="19"/>
      <c r="P1572" s="19"/>
      <c r="Q1572" s="19"/>
      <c r="R1572" s="19"/>
      <c r="S1572" s="19"/>
      <c r="T1572" s="19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</row>
    <row r="1573" spans="1:34" ht="15.75" customHeight="1" x14ac:dyDescent="0.25">
      <c r="A1573" s="3"/>
      <c r="B1573" s="3"/>
      <c r="C1573" s="18"/>
      <c r="D1573" s="18"/>
      <c r="E1573" s="19"/>
      <c r="F1573" s="19"/>
      <c r="G1573" s="20"/>
      <c r="H1573" s="3"/>
      <c r="I1573" s="19"/>
      <c r="J1573" s="19"/>
      <c r="K1573" s="19"/>
      <c r="L1573" s="19"/>
      <c r="M1573" s="19"/>
      <c r="N1573" s="19"/>
      <c r="O1573" s="19"/>
      <c r="P1573" s="19"/>
      <c r="Q1573" s="19"/>
      <c r="R1573" s="19"/>
      <c r="S1573" s="19"/>
      <c r="T1573" s="19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</row>
    <row r="1574" spans="1:34" ht="15.75" customHeight="1" x14ac:dyDescent="0.25">
      <c r="A1574" s="3"/>
      <c r="B1574" s="3"/>
      <c r="C1574" s="18"/>
      <c r="D1574" s="18"/>
      <c r="E1574" s="19"/>
      <c r="F1574" s="19"/>
      <c r="G1574" s="20"/>
      <c r="H1574" s="3"/>
      <c r="I1574" s="19"/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</row>
    <row r="1575" spans="1:34" ht="15.75" customHeight="1" x14ac:dyDescent="0.25">
      <c r="A1575" s="3"/>
      <c r="B1575" s="3"/>
      <c r="C1575" s="18"/>
      <c r="D1575" s="18"/>
      <c r="E1575" s="19"/>
      <c r="F1575" s="19"/>
      <c r="G1575" s="20"/>
      <c r="H1575" s="3"/>
      <c r="I1575" s="19"/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</row>
    <row r="1576" spans="1:34" ht="15.75" customHeight="1" x14ac:dyDescent="0.25">
      <c r="A1576" s="3"/>
      <c r="B1576" s="3"/>
      <c r="C1576" s="18"/>
      <c r="D1576" s="18"/>
      <c r="E1576" s="19"/>
      <c r="F1576" s="19"/>
      <c r="G1576" s="20"/>
      <c r="H1576" s="3"/>
      <c r="I1576" s="19"/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</row>
    <row r="1577" spans="1:34" ht="15.75" customHeight="1" x14ac:dyDescent="0.25">
      <c r="A1577" s="3"/>
      <c r="B1577" s="3"/>
      <c r="C1577" s="18"/>
      <c r="D1577" s="18"/>
      <c r="E1577" s="19"/>
      <c r="F1577" s="19"/>
      <c r="G1577" s="20"/>
      <c r="H1577" s="3"/>
      <c r="I1577" s="19"/>
      <c r="J1577" s="19"/>
      <c r="K1577" s="19"/>
      <c r="L1577" s="19"/>
      <c r="M1577" s="19"/>
      <c r="N1577" s="19"/>
      <c r="O1577" s="19"/>
      <c r="P1577" s="19"/>
      <c r="Q1577" s="19"/>
      <c r="R1577" s="19"/>
      <c r="S1577" s="19"/>
      <c r="T1577" s="19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</row>
    <row r="1578" spans="1:34" ht="15.75" customHeight="1" x14ac:dyDescent="0.25">
      <c r="A1578" s="3"/>
      <c r="B1578" s="3"/>
      <c r="C1578" s="18"/>
      <c r="D1578" s="18"/>
      <c r="E1578" s="19"/>
      <c r="F1578" s="19"/>
      <c r="G1578" s="20"/>
      <c r="H1578" s="3"/>
      <c r="I1578" s="19"/>
      <c r="J1578" s="19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</row>
    <row r="1579" spans="1:34" ht="15.75" customHeight="1" x14ac:dyDescent="0.25">
      <c r="A1579" s="3"/>
      <c r="B1579" s="3"/>
      <c r="C1579" s="18"/>
      <c r="D1579" s="18"/>
      <c r="E1579" s="19"/>
      <c r="F1579" s="19"/>
      <c r="G1579" s="20"/>
      <c r="H1579" s="3"/>
      <c r="I1579" s="19"/>
      <c r="J1579" s="19"/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</row>
    <row r="1580" spans="1:34" ht="15.75" customHeight="1" x14ac:dyDescent="0.25">
      <c r="A1580" s="3"/>
      <c r="B1580" s="3"/>
      <c r="C1580" s="18"/>
      <c r="D1580" s="18"/>
      <c r="E1580" s="19"/>
      <c r="F1580" s="19"/>
      <c r="G1580" s="20"/>
      <c r="H1580" s="3"/>
      <c r="I1580" s="19"/>
      <c r="J1580" s="19"/>
      <c r="K1580" s="19"/>
      <c r="L1580" s="19"/>
      <c r="M1580" s="19"/>
      <c r="N1580" s="19"/>
      <c r="O1580" s="19"/>
      <c r="P1580" s="19"/>
      <c r="Q1580" s="19"/>
      <c r="R1580" s="19"/>
      <c r="S1580" s="19"/>
      <c r="T1580" s="19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</row>
    <row r="1581" spans="1:34" ht="15.75" customHeight="1" x14ac:dyDescent="0.25">
      <c r="A1581" s="3"/>
      <c r="B1581" s="3"/>
      <c r="C1581" s="18"/>
      <c r="D1581" s="18"/>
      <c r="E1581" s="19"/>
      <c r="F1581" s="19"/>
      <c r="G1581" s="20"/>
      <c r="H1581" s="3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  <c r="S1581" s="19"/>
      <c r="T1581" s="19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</row>
    <row r="1582" spans="1:34" ht="15.75" customHeight="1" x14ac:dyDescent="0.25">
      <c r="A1582" s="3"/>
      <c r="B1582" s="3"/>
      <c r="C1582" s="18"/>
      <c r="D1582" s="18"/>
      <c r="E1582" s="19"/>
      <c r="F1582" s="19"/>
      <c r="G1582" s="20"/>
      <c r="H1582" s="3"/>
      <c r="I1582" s="19"/>
      <c r="J1582" s="19"/>
      <c r="K1582" s="19"/>
      <c r="L1582" s="19"/>
      <c r="M1582" s="19"/>
      <c r="N1582" s="19"/>
      <c r="O1582" s="19"/>
      <c r="P1582" s="19"/>
      <c r="Q1582" s="19"/>
      <c r="R1582" s="19"/>
      <c r="S1582" s="19"/>
      <c r="T1582" s="19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</row>
    <row r="1583" spans="1:34" ht="15.75" customHeight="1" x14ac:dyDescent="0.25">
      <c r="A1583" s="3"/>
      <c r="B1583" s="3"/>
      <c r="C1583" s="18"/>
      <c r="D1583" s="18"/>
      <c r="E1583" s="19"/>
      <c r="F1583" s="19"/>
      <c r="G1583" s="20"/>
      <c r="H1583" s="3"/>
      <c r="I1583" s="19"/>
      <c r="J1583" s="19"/>
      <c r="K1583" s="19"/>
      <c r="L1583" s="19"/>
      <c r="M1583" s="19"/>
      <c r="N1583" s="19"/>
      <c r="O1583" s="19"/>
      <c r="P1583" s="19"/>
      <c r="Q1583" s="19"/>
      <c r="R1583" s="19"/>
      <c r="S1583" s="19"/>
      <c r="T1583" s="19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</row>
    <row r="1584" spans="1:34" ht="15.75" customHeight="1" x14ac:dyDescent="0.25">
      <c r="A1584" s="3"/>
      <c r="B1584" s="3"/>
      <c r="C1584" s="18"/>
      <c r="D1584" s="18"/>
      <c r="E1584" s="19"/>
      <c r="F1584" s="19"/>
      <c r="G1584" s="20"/>
      <c r="H1584" s="3"/>
      <c r="I1584" s="19"/>
      <c r="J1584" s="19"/>
      <c r="K1584" s="19"/>
      <c r="L1584" s="19"/>
      <c r="M1584" s="19"/>
      <c r="N1584" s="19"/>
      <c r="O1584" s="19"/>
      <c r="P1584" s="19"/>
      <c r="Q1584" s="19"/>
      <c r="R1584" s="19"/>
      <c r="S1584" s="19"/>
      <c r="T1584" s="19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</row>
    <row r="1585" spans="1:34" ht="15.75" customHeight="1" x14ac:dyDescent="0.25">
      <c r="A1585" s="3"/>
      <c r="B1585" s="3"/>
      <c r="C1585" s="18"/>
      <c r="D1585" s="18"/>
      <c r="E1585" s="19"/>
      <c r="F1585" s="19"/>
      <c r="G1585" s="20"/>
      <c r="H1585" s="3"/>
      <c r="I1585" s="19"/>
      <c r="J1585" s="19"/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</row>
    <row r="1586" spans="1:34" ht="15.75" customHeight="1" x14ac:dyDescent="0.25">
      <c r="A1586" s="3"/>
      <c r="B1586" s="3"/>
      <c r="C1586" s="18"/>
      <c r="D1586" s="18"/>
      <c r="E1586" s="19"/>
      <c r="F1586" s="19"/>
      <c r="G1586" s="20"/>
      <c r="H1586" s="3"/>
      <c r="I1586" s="19"/>
      <c r="J1586" s="19"/>
      <c r="K1586" s="19"/>
      <c r="L1586" s="19"/>
      <c r="M1586" s="19"/>
      <c r="N1586" s="19"/>
      <c r="O1586" s="19"/>
      <c r="P1586" s="19"/>
      <c r="Q1586" s="19"/>
      <c r="R1586" s="19"/>
      <c r="S1586" s="19"/>
      <c r="T1586" s="19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</row>
    <row r="1587" spans="1:34" ht="15.75" customHeight="1" x14ac:dyDescent="0.25">
      <c r="A1587" s="3"/>
      <c r="B1587" s="3"/>
      <c r="C1587" s="18"/>
      <c r="D1587" s="18"/>
      <c r="E1587" s="19"/>
      <c r="F1587" s="19"/>
      <c r="G1587" s="20"/>
      <c r="H1587" s="3"/>
      <c r="I1587" s="19"/>
      <c r="J1587" s="19"/>
      <c r="K1587" s="19"/>
      <c r="L1587" s="19"/>
      <c r="M1587" s="19"/>
      <c r="N1587" s="19"/>
      <c r="O1587" s="19"/>
      <c r="P1587" s="19"/>
      <c r="Q1587" s="19"/>
      <c r="R1587" s="19"/>
      <c r="S1587" s="19"/>
      <c r="T1587" s="19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</row>
    <row r="1588" spans="1:34" ht="15.75" customHeight="1" x14ac:dyDescent="0.25">
      <c r="A1588" s="3"/>
      <c r="B1588" s="3"/>
      <c r="C1588" s="18"/>
      <c r="D1588" s="18"/>
      <c r="E1588" s="19"/>
      <c r="F1588" s="19"/>
      <c r="G1588" s="20"/>
      <c r="H1588" s="3"/>
      <c r="I1588" s="19"/>
      <c r="J1588" s="19"/>
      <c r="K1588" s="19"/>
      <c r="L1588" s="19"/>
      <c r="M1588" s="19"/>
      <c r="N1588" s="19"/>
      <c r="O1588" s="19"/>
      <c r="P1588" s="19"/>
      <c r="Q1588" s="19"/>
      <c r="R1588" s="19"/>
      <c r="S1588" s="19"/>
      <c r="T1588" s="19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</row>
    <row r="1589" spans="1:34" ht="15.75" customHeight="1" x14ac:dyDescent="0.25">
      <c r="A1589" s="3"/>
      <c r="B1589" s="3"/>
      <c r="C1589" s="18"/>
      <c r="D1589" s="18"/>
      <c r="E1589" s="19"/>
      <c r="F1589" s="19"/>
      <c r="G1589" s="20"/>
      <c r="H1589" s="3"/>
      <c r="I1589" s="19"/>
      <c r="J1589" s="19"/>
      <c r="K1589" s="19"/>
      <c r="L1589" s="19"/>
      <c r="M1589" s="19"/>
      <c r="N1589" s="19"/>
      <c r="O1589" s="19"/>
      <c r="P1589" s="19"/>
      <c r="Q1589" s="19"/>
      <c r="R1589" s="19"/>
      <c r="S1589" s="19"/>
      <c r="T1589" s="19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</row>
    <row r="1590" spans="1:34" ht="15.75" customHeight="1" x14ac:dyDescent="0.25">
      <c r="A1590" s="3"/>
      <c r="B1590" s="3"/>
      <c r="C1590" s="18"/>
      <c r="D1590" s="18"/>
      <c r="E1590" s="19"/>
      <c r="F1590" s="19"/>
      <c r="G1590" s="20"/>
      <c r="H1590" s="3"/>
      <c r="I1590" s="19"/>
      <c r="J1590" s="19"/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</row>
    <row r="1591" spans="1:34" ht="15.75" customHeight="1" x14ac:dyDescent="0.25">
      <c r="A1591" s="3"/>
      <c r="B1591" s="3"/>
      <c r="C1591" s="18"/>
      <c r="D1591" s="18"/>
      <c r="E1591" s="19"/>
      <c r="F1591" s="19"/>
      <c r="G1591" s="20"/>
      <c r="H1591" s="3"/>
      <c r="I1591" s="19"/>
      <c r="J1591" s="19"/>
      <c r="K1591" s="19"/>
      <c r="L1591" s="19"/>
      <c r="M1591" s="19"/>
      <c r="N1591" s="19"/>
      <c r="O1591" s="19"/>
      <c r="P1591" s="19"/>
      <c r="Q1591" s="19"/>
      <c r="R1591" s="19"/>
      <c r="S1591" s="19"/>
      <c r="T1591" s="19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</row>
    <row r="1592" spans="1:34" ht="15.75" customHeight="1" x14ac:dyDescent="0.25">
      <c r="A1592" s="3"/>
      <c r="B1592" s="3"/>
      <c r="C1592" s="18"/>
      <c r="D1592" s="18"/>
      <c r="E1592" s="19"/>
      <c r="F1592" s="19"/>
      <c r="G1592" s="20"/>
      <c r="H1592" s="3"/>
      <c r="I1592" s="19"/>
      <c r="J1592" s="19"/>
      <c r="K1592" s="19"/>
      <c r="L1592" s="19"/>
      <c r="M1592" s="19"/>
      <c r="N1592" s="19"/>
      <c r="O1592" s="19"/>
      <c r="P1592" s="19"/>
      <c r="Q1592" s="19"/>
      <c r="R1592" s="19"/>
      <c r="S1592" s="19"/>
      <c r="T1592" s="19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</row>
    <row r="1593" spans="1:34" ht="15.75" customHeight="1" x14ac:dyDescent="0.25">
      <c r="A1593" s="3"/>
      <c r="B1593" s="3"/>
      <c r="C1593" s="18"/>
      <c r="D1593" s="18"/>
      <c r="E1593" s="19"/>
      <c r="F1593" s="19"/>
      <c r="G1593" s="20"/>
      <c r="H1593" s="3"/>
      <c r="I1593" s="19"/>
      <c r="J1593" s="19"/>
      <c r="K1593" s="19"/>
      <c r="L1593" s="19"/>
      <c r="M1593" s="19"/>
      <c r="N1593" s="19"/>
      <c r="O1593" s="19"/>
      <c r="P1593" s="19"/>
      <c r="Q1593" s="19"/>
      <c r="R1593" s="19"/>
      <c r="S1593" s="19"/>
      <c r="T1593" s="19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</row>
    <row r="1594" spans="1:34" ht="15.75" customHeight="1" x14ac:dyDescent="0.25">
      <c r="A1594" s="3"/>
      <c r="B1594" s="3"/>
      <c r="C1594" s="18"/>
      <c r="D1594" s="18"/>
      <c r="E1594" s="19"/>
      <c r="F1594" s="19"/>
      <c r="G1594" s="20"/>
      <c r="H1594" s="3"/>
      <c r="I1594" s="19"/>
      <c r="J1594" s="19"/>
      <c r="K1594" s="19"/>
      <c r="L1594" s="19"/>
      <c r="M1594" s="19"/>
      <c r="N1594" s="19"/>
      <c r="O1594" s="19"/>
      <c r="P1594" s="19"/>
      <c r="Q1594" s="19"/>
      <c r="R1594" s="19"/>
      <c r="S1594" s="19"/>
      <c r="T1594" s="19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</row>
    <row r="1595" spans="1:34" ht="15.75" customHeight="1" x14ac:dyDescent="0.25">
      <c r="A1595" s="3"/>
      <c r="B1595" s="3"/>
      <c r="C1595" s="18"/>
      <c r="D1595" s="18"/>
      <c r="E1595" s="19"/>
      <c r="F1595" s="19"/>
      <c r="G1595" s="20"/>
      <c r="H1595" s="3"/>
      <c r="I1595" s="19"/>
      <c r="J1595" s="19"/>
      <c r="K1595" s="19"/>
      <c r="L1595" s="19"/>
      <c r="M1595" s="19"/>
      <c r="N1595" s="19"/>
      <c r="O1595" s="19"/>
      <c r="P1595" s="19"/>
      <c r="Q1595" s="19"/>
      <c r="R1595" s="19"/>
      <c r="S1595" s="19"/>
      <c r="T1595" s="19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</row>
    <row r="1596" spans="1:34" ht="15.75" customHeight="1" x14ac:dyDescent="0.25">
      <c r="A1596" s="3"/>
      <c r="B1596" s="3"/>
      <c r="C1596" s="18"/>
      <c r="D1596" s="18"/>
      <c r="E1596" s="19"/>
      <c r="F1596" s="19"/>
      <c r="G1596" s="20"/>
      <c r="H1596" s="3"/>
      <c r="I1596" s="19"/>
      <c r="J1596" s="19"/>
      <c r="K1596" s="19"/>
      <c r="L1596" s="19"/>
      <c r="M1596" s="19"/>
      <c r="N1596" s="19"/>
      <c r="O1596" s="19"/>
      <c r="P1596" s="19"/>
      <c r="Q1596" s="19"/>
      <c r="R1596" s="19"/>
      <c r="S1596" s="19"/>
      <c r="T1596" s="19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</row>
    <row r="1597" spans="1:34" ht="15.75" customHeight="1" x14ac:dyDescent="0.25">
      <c r="A1597" s="3"/>
      <c r="B1597" s="3"/>
      <c r="C1597" s="18"/>
      <c r="D1597" s="18"/>
      <c r="E1597" s="19"/>
      <c r="F1597" s="19"/>
      <c r="G1597" s="20"/>
      <c r="H1597" s="3"/>
      <c r="I1597" s="19"/>
      <c r="J1597" s="19"/>
      <c r="K1597" s="19"/>
      <c r="L1597" s="19"/>
      <c r="M1597" s="19"/>
      <c r="N1597" s="19"/>
      <c r="O1597" s="19"/>
      <c r="P1597" s="19"/>
      <c r="Q1597" s="19"/>
      <c r="R1597" s="19"/>
      <c r="S1597" s="19"/>
      <c r="T1597" s="19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</row>
    <row r="1598" spans="1:34" ht="15.75" customHeight="1" x14ac:dyDescent="0.25">
      <c r="A1598" s="3"/>
      <c r="B1598" s="3"/>
      <c r="C1598" s="18"/>
      <c r="D1598" s="18"/>
      <c r="E1598" s="19"/>
      <c r="F1598" s="19"/>
      <c r="G1598" s="20"/>
      <c r="H1598" s="3"/>
      <c r="I1598" s="19"/>
      <c r="J1598" s="19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</row>
    <row r="1599" spans="1:34" ht="15.75" customHeight="1" x14ac:dyDescent="0.25">
      <c r="A1599" s="3"/>
      <c r="B1599" s="3"/>
      <c r="C1599" s="18"/>
      <c r="D1599" s="18"/>
      <c r="E1599" s="19"/>
      <c r="F1599" s="19"/>
      <c r="G1599" s="20"/>
      <c r="H1599" s="3"/>
      <c r="I1599" s="19"/>
      <c r="J1599" s="19"/>
      <c r="K1599" s="19"/>
      <c r="L1599" s="19"/>
      <c r="M1599" s="19"/>
      <c r="N1599" s="19"/>
      <c r="O1599" s="19"/>
      <c r="P1599" s="19"/>
      <c r="Q1599" s="19"/>
      <c r="R1599" s="19"/>
      <c r="S1599" s="19"/>
      <c r="T1599" s="19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</row>
    <row r="1600" spans="1:34" ht="15.75" customHeight="1" x14ac:dyDescent="0.25">
      <c r="A1600" s="3"/>
      <c r="B1600" s="3"/>
      <c r="C1600" s="18"/>
      <c r="D1600" s="18"/>
      <c r="E1600" s="19"/>
      <c r="F1600" s="19"/>
      <c r="G1600" s="20"/>
      <c r="H1600" s="3"/>
      <c r="I1600" s="19"/>
      <c r="J1600" s="19"/>
      <c r="K1600" s="19"/>
      <c r="L1600" s="19"/>
      <c r="M1600" s="19"/>
      <c r="N1600" s="19"/>
      <c r="O1600" s="19"/>
      <c r="P1600" s="19"/>
      <c r="Q1600" s="19"/>
      <c r="R1600" s="19"/>
      <c r="S1600" s="19"/>
      <c r="T1600" s="19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</row>
    <row r="1601" spans="1:34" ht="15.75" customHeight="1" x14ac:dyDescent="0.25">
      <c r="A1601" s="3"/>
      <c r="B1601" s="3"/>
      <c r="C1601" s="18"/>
      <c r="D1601" s="18"/>
      <c r="E1601" s="19"/>
      <c r="F1601" s="19"/>
      <c r="G1601" s="20"/>
      <c r="H1601" s="3"/>
      <c r="I1601" s="19"/>
      <c r="J1601" s="19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</row>
    <row r="1602" spans="1:34" ht="15.75" customHeight="1" x14ac:dyDescent="0.25">
      <c r="A1602" s="3"/>
      <c r="B1602" s="3"/>
      <c r="C1602" s="18"/>
      <c r="D1602" s="18"/>
      <c r="E1602" s="19"/>
      <c r="F1602" s="19"/>
      <c r="G1602" s="20"/>
      <c r="H1602" s="3"/>
      <c r="I1602" s="19"/>
      <c r="J1602" s="19"/>
      <c r="K1602" s="19"/>
      <c r="L1602" s="19"/>
      <c r="M1602" s="19"/>
      <c r="N1602" s="19"/>
      <c r="O1602" s="19"/>
      <c r="P1602" s="19"/>
      <c r="Q1602" s="19"/>
      <c r="R1602" s="19"/>
      <c r="S1602" s="19"/>
      <c r="T1602" s="19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</row>
    <row r="1603" spans="1:34" ht="15.75" customHeight="1" x14ac:dyDescent="0.25">
      <c r="A1603" s="3"/>
      <c r="B1603" s="3"/>
      <c r="C1603" s="18"/>
      <c r="D1603" s="18"/>
      <c r="E1603" s="19"/>
      <c r="F1603" s="19"/>
      <c r="G1603" s="20"/>
      <c r="H1603" s="3"/>
      <c r="I1603" s="19"/>
      <c r="J1603" s="19"/>
      <c r="K1603" s="19"/>
      <c r="L1603" s="19"/>
      <c r="M1603" s="19"/>
      <c r="N1603" s="19"/>
      <c r="O1603" s="19"/>
      <c r="P1603" s="19"/>
      <c r="Q1603" s="19"/>
      <c r="R1603" s="19"/>
      <c r="S1603" s="19"/>
      <c r="T1603" s="19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</row>
    <row r="1604" spans="1:34" ht="15.75" customHeight="1" x14ac:dyDescent="0.25">
      <c r="A1604" s="3"/>
      <c r="B1604" s="3"/>
      <c r="C1604" s="18"/>
      <c r="D1604" s="18"/>
      <c r="E1604" s="19"/>
      <c r="F1604" s="19"/>
      <c r="G1604" s="20"/>
      <c r="H1604" s="3"/>
      <c r="I1604" s="19"/>
      <c r="J1604" s="19"/>
      <c r="K1604" s="19"/>
      <c r="L1604" s="19"/>
      <c r="M1604" s="19"/>
      <c r="N1604" s="19"/>
      <c r="O1604" s="19"/>
      <c r="P1604" s="19"/>
      <c r="Q1604" s="19"/>
      <c r="R1604" s="19"/>
      <c r="S1604" s="19"/>
      <c r="T1604" s="19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</row>
    <row r="1605" spans="1:34" ht="15.75" customHeight="1" x14ac:dyDescent="0.25">
      <c r="A1605" s="3"/>
      <c r="B1605" s="3"/>
      <c r="C1605" s="18"/>
      <c r="D1605" s="18"/>
      <c r="E1605" s="19"/>
      <c r="F1605" s="19"/>
      <c r="G1605" s="20"/>
      <c r="H1605" s="3"/>
      <c r="I1605" s="19"/>
      <c r="J1605" s="19"/>
      <c r="K1605" s="19"/>
      <c r="L1605" s="19"/>
      <c r="M1605" s="19"/>
      <c r="N1605" s="19"/>
      <c r="O1605" s="19"/>
      <c r="P1605" s="19"/>
      <c r="Q1605" s="19"/>
      <c r="R1605" s="19"/>
      <c r="S1605" s="19"/>
      <c r="T1605" s="19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</row>
    <row r="1606" spans="1:34" ht="15.75" customHeight="1" x14ac:dyDescent="0.25">
      <c r="A1606" s="3"/>
      <c r="B1606" s="3"/>
      <c r="C1606" s="18"/>
      <c r="D1606" s="18"/>
      <c r="E1606" s="19"/>
      <c r="F1606" s="19"/>
      <c r="G1606" s="20"/>
      <c r="H1606" s="3"/>
      <c r="I1606" s="19"/>
      <c r="J1606" s="19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</row>
    <row r="1607" spans="1:34" ht="15.75" customHeight="1" x14ac:dyDescent="0.25">
      <c r="A1607" s="3"/>
      <c r="B1607" s="3"/>
      <c r="C1607" s="18"/>
      <c r="D1607" s="18"/>
      <c r="E1607" s="19"/>
      <c r="F1607" s="19"/>
      <c r="G1607" s="20"/>
      <c r="H1607" s="3"/>
      <c r="I1607" s="19"/>
      <c r="J1607" s="19"/>
      <c r="K1607" s="19"/>
      <c r="L1607" s="19"/>
      <c r="M1607" s="19"/>
      <c r="N1607" s="19"/>
      <c r="O1607" s="19"/>
      <c r="P1607" s="19"/>
      <c r="Q1607" s="19"/>
      <c r="R1607" s="19"/>
      <c r="S1607" s="19"/>
      <c r="T1607" s="19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</row>
    <row r="1608" spans="1:34" ht="15.75" customHeight="1" x14ac:dyDescent="0.25">
      <c r="A1608" s="3"/>
      <c r="B1608" s="3"/>
      <c r="C1608" s="18"/>
      <c r="D1608" s="18"/>
      <c r="E1608" s="19"/>
      <c r="F1608" s="19"/>
      <c r="G1608" s="20"/>
      <c r="H1608" s="3"/>
      <c r="I1608" s="19"/>
      <c r="J1608" s="19"/>
      <c r="K1608" s="19"/>
      <c r="L1608" s="19"/>
      <c r="M1608" s="19"/>
      <c r="N1608" s="19"/>
      <c r="O1608" s="19"/>
      <c r="P1608" s="19"/>
      <c r="Q1608" s="19"/>
      <c r="R1608" s="19"/>
      <c r="S1608" s="19"/>
      <c r="T1608" s="19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</row>
    <row r="1609" spans="1:34" ht="15.75" customHeight="1" x14ac:dyDescent="0.25">
      <c r="A1609" s="3"/>
      <c r="B1609" s="3"/>
      <c r="C1609" s="18"/>
      <c r="D1609" s="18"/>
      <c r="E1609" s="19"/>
      <c r="F1609" s="19"/>
      <c r="G1609" s="20"/>
      <c r="H1609" s="3"/>
      <c r="I1609" s="19"/>
      <c r="J1609" s="19"/>
      <c r="K1609" s="19"/>
      <c r="L1609" s="19"/>
      <c r="M1609" s="19"/>
      <c r="N1609" s="19"/>
      <c r="O1609" s="19"/>
      <c r="P1609" s="19"/>
      <c r="Q1609" s="19"/>
      <c r="R1609" s="19"/>
      <c r="S1609" s="19"/>
      <c r="T1609" s="19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</row>
    <row r="1610" spans="1:34" ht="15.75" customHeight="1" x14ac:dyDescent="0.25">
      <c r="A1610" s="3"/>
      <c r="B1610" s="3"/>
      <c r="C1610" s="18"/>
      <c r="D1610" s="18"/>
      <c r="E1610" s="19"/>
      <c r="F1610" s="19"/>
      <c r="G1610" s="20"/>
      <c r="H1610" s="3"/>
      <c r="I1610" s="19"/>
      <c r="J1610" s="19"/>
      <c r="K1610" s="19"/>
      <c r="L1610" s="19"/>
      <c r="M1610" s="19"/>
      <c r="N1610" s="19"/>
      <c r="O1610" s="19"/>
      <c r="P1610" s="19"/>
      <c r="Q1610" s="19"/>
      <c r="R1610" s="19"/>
      <c r="S1610" s="19"/>
      <c r="T1610" s="19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</row>
    <row r="1611" spans="1:34" ht="15.75" customHeight="1" x14ac:dyDescent="0.25">
      <c r="A1611" s="3"/>
      <c r="B1611" s="3"/>
      <c r="C1611" s="18"/>
      <c r="D1611" s="18"/>
      <c r="E1611" s="19"/>
      <c r="F1611" s="19"/>
      <c r="G1611" s="20"/>
      <c r="H1611" s="3"/>
      <c r="I1611" s="19"/>
      <c r="J1611" s="19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</row>
    <row r="1612" spans="1:34" ht="15.75" customHeight="1" x14ac:dyDescent="0.25">
      <c r="A1612" s="3"/>
      <c r="B1612" s="3"/>
      <c r="C1612" s="18"/>
      <c r="D1612" s="18"/>
      <c r="E1612" s="19"/>
      <c r="F1612" s="19"/>
      <c r="G1612" s="20"/>
      <c r="H1612" s="3"/>
      <c r="I1612" s="19"/>
      <c r="J1612" s="19"/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</row>
    <row r="1613" spans="1:34" ht="15.75" customHeight="1" x14ac:dyDescent="0.25">
      <c r="A1613" s="3"/>
      <c r="B1613" s="3"/>
      <c r="C1613" s="18"/>
      <c r="D1613" s="18"/>
      <c r="E1613" s="19"/>
      <c r="F1613" s="19"/>
      <c r="G1613" s="20"/>
      <c r="H1613" s="3"/>
      <c r="I1613" s="19"/>
      <c r="J1613" s="19"/>
      <c r="K1613" s="19"/>
      <c r="L1613" s="19"/>
      <c r="M1613" s="19"/>
      <c r="N1613" s="19"/>
      <c r="O1613" s="19"/>
      <c r="P1613" s="19"/>
      <c r="Q1613" s="19"/>
      <c r="R1613" s="19"/>
      <c r="S1613" s="19"/>
      <c r="T1613" s="19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</row>
    <row r="1614" spans="1:34" ht="15.75" customHeight="1" x14ac:dyDescent="0.25">
      <c r="A1614" s="3"/>
      <c r="B1614" s="3"/>
      <c r="C1614" s="18"/>
      <c r="D1614" s="18"/>
      <c r="E1614" s="19"/>
      <c r="F1614" s="19"/>
      <c r="G1614" s="20"/>
      <c r="H1614" s="3"/>
      <c r="I1614" s="19"/>
      <c r="J1614" s="19"/>
      <c r="K1614" s="19"/>
      <c r="L1614" s="19"/>
      <c r="M1614" s="19"/>
      <c r="N1614" s="19"/>
      <c r="O1614" s="19"/>
      <c r="P1614" s="19"/>
      <c r="Q1614" s="19"/>
      <c r="R1614" s="19"/>
      <c r="S1614" s="19"/>
      <c r="T1614" s="19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</row>
    <row r="1615" spans="1:34" ht="15.75" customHeight="1" x14ac:dyDescent="0.25">
      <c r="A1615" s="3"/>
      <c r="B1615" s="3"/>
      <c r="C1615" s="18"/>
      <c r="D1615" s="18"/>
      <c r="E1615" s="19"/>
      <c r="F1615" s="19"/>
      <c r="G1615" s="20"/>
      <c r="H1615" s="3"/>
      <c r="I1615" s="19"/>
      <c r="J1615" s="19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</row>
    <row r="1616" spans="1:34" ht="15.75" customHeight="1" x14ac:dyDescent="0.25">
      <c r="A1616" s="3"/>
      <c r="B1616" s="3"/>
      <c r="C1616" s="18"/>
      <c r="D1616" s="18"/>
      <c r="E1616" s="19"/>
      <c r="F1616" s="19"/>
      <c r="G1616" s="20"/>
      <c r="H1616" s="3"/>
      <c r="I1616" s="19"/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</row>
    <row r="1617" spans="1:34" ht="15.75" customHeight="1" x14ac:dyDescent="0.25">
      <c r="A1617" s="3"/>
      <c r="B1617" s="3"/>
      <c r="C1617" s="18"/>
      <c r="D1617" s="18"/>
      <c r="E1617" s="19"/>
      <c r="F1617" s="19"/>
      <c r="G1617" s="20"/>
      <c r="H1617" s="3"/>
      <c r="I1617" s="19"/>
      <c r="J1617" s="19"/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</row>
    <row r="1618" spans="1:34" ht="15.75" customHeight="1" x14ac:dyDescent="0.25">
      <c r="A1618" s="3"/>
      <c r="B1618" s="3"/>
      <c r="C1618" s="18"/>
      <c r="D1618" s="18"/>
      <c r="E1618" s="19"/>
      <c r="F1618" s="19"/>
      <c r="G1618" s="20"/>
      <c r="H1618" s="3"/>
      <c r="I1618" s="19"/>
      <c r="J1618" s="19"/>
      <c r="K1618" s="19"/>
      <c r="L1618" s="19"/>
      <c r="M1618" s="19"/>
      <c r="N1618" s="19"/>
      <c r="O1618" s="19"/>
      <c r="P1618" s="19"/>
      <c r="Q1618" s="19"/>
      <c r="R1618" s="19"/>
      <c r="S1618" s="19"/>
      <c r="T1618" s="19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</row>
    <row r="1619" spans="1:34" ht="15.75" customHeight="1" x14ac:dyDescent="0.25">
      <c r="A1619" s="3"/>
      <c r="B1619" s="3"/>
      <c r="C1619" s="18"/>
      <c r="D1619" s="18"/>
      <c r="E1619" s="19"/>
      <c r="F1619" s="19"/>
      <c r="G1619" s="20"/>
      <c r="H1619" s="3"/>
      <c r="I1619" s="19"/>
      <c r="J1619" s="19"/>
      <c r="K1619" s="19"/>
      <c r="L1619" s="19"/>
      <c r="M1619" s="19"/>
      <c r="N1619" s="19"/>
      <c r="O1619" s="19"/>
      <c r="P1619" s="19"/>
      <c r="Q1619" s="19"/>
      <c r="R1619" s="19"/>
      <c r="S1619" s="19"/>
      <c r="T1619" s="19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</row>
    <row r="1620" spans="1:34" ht="15.75" customHeight="1" x14ac:dyDescent="0.25">
      <c r="A1620" s="3"/>
      <c r="B1620" s="3"/>
      <c r="C1620" s="18"/>
      <c r="D1620" s="18"/>
      <c r="E1620" s="19"/>
      <c r="F1620" s="19"/>
      <c r="G1620" s="20"/>
      <c r="H1620" s="3"/>
      <c r="I1620" s="19"/>
      <c r="J1620" s="19"/>
      <c r="K1620" s="19"/>
      <c r="L1620" s="19"/>
      <c r="M1620" s="19"/>
      <c r="N1620" s="19"/>
      <c r="O1620" s="19"/>
      <c r="P1620" s="19"/>
      <c r="Q1620" s="19"/>
      <c r="R1620" s="19"/>
      <c r="S1620" s="19"/>
      <c r="T1620" s="19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</row>
    <row r="1621" spans="1:34" ht="15.75" customHeight="1" x14ac:dyDescent="0.25">
      <c r="A1621" s="3"/>
      <c r="B1621" s="3"/>
      <c r="C1621" s="18"/>
      <c r="D1621" s="18"/>
      <c r="E1621" s="19"/>
      <c r="F1621" s="19"/>
      <c r="G1621" s="20"/>
      <c r="H1621" s="3"/>
      <c r="I1621" s="19"/>
      <c r="J1621" s="19"/>
      <c r="K1621" s="19"/>
      <c r="L1621" s="19"/>
      <c r="M1621" s="19"/>
      <c r="N1621" s="19"/>
      <c r="O1621" s="19"/>
      <c r="P1621" s="19"/>
      <c r="Q1621" s="19"/>
      <c r="R1621" s="19"/>
      <c r="S1621" s="19"/>
      <c r="T1621" s="19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</row>
    <row r="1622" spans="1:34" ht="15.75" customHeight="1" x14ac:dyDescent="0.25">
      <c r="A1622" s="3"/>
      <c r="B1622" s="3"/>
      <c r="C1622" s="18"/>
      <c r="D1622" s="18"/>
      <c r="E1622" s="19"/>
      <c r="F1622" s="19"/>
      <c r="G1622" s="20"/>
      <c r="H1622" s="3"/>
      <c r="I1622" s="19"/>
      <c r="J1622" s="19"/>
      <c r="K1622" s="19"/>
      <c r="L1622" s="19"/>
      <c r="M1622" s="19"/>
      <c r="N1622" s="19"/>
      <c r="O1622" s="19"/>
      <c r="P1622" s="19"/>
      <c r="Q1622" s="19"/>
      <c r="R1622" s="19"/>
      <c r="S1622" s="19"/>
      <c r="T1622" s="19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</row>
    <row r="1623" spans="1:34" ht="15.75" customHeight="1" x14ac:dyDescent="0.25">
      <c r="A1623" s="3"/>
      <c r="B1623" s="3"/>
      <c r="C1623" s="18"/>
      <c r="D1623" s="18"/>
      <c r="E1623" s="19"/>
      <c r="F1623" s="19"/>
      <c r="G1623" s="20"/>
      <c r="H1623" s="3"/>
      <c r="I1623" s="19"/>
      <c r="J1623" s="19"/>
      <c r="K1623" s="19"/>
      <c r="L1623" s="19"/>
      <c r="M1623" s="19"/>
      <c r="N1623" s="19"/>
      <c r="O1623" s="19"/>
      <c r="P1623" s="19"/>
      <c r="Q1623" s="19"/>
      <c r="R1623" s="19"/>
      <c r="S1623" s="19"/>
      <c r="T1623" s="19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</row>
    <row r="1624" spans="1:34" ht="15.75" customHeight="1" x14ac:dyDescent="0.25">
      <c r="A1624" s="3"/>
      <c r="B1624" s="3"/>
      <c r="C1624" s="18"/>
      <c r="D1624" s="18"/>
      <c r="E1624" s="19"/>
      <c r="F1624" s="19"/>
      <c r="G1624" s="20"/>
      <c r="H1624" s="3"/>
      <c r="I1624" s="19"/>
      <c r="J1624" s="19"/>
      <c r="K1624" s="19"/>
      <c r="L1624" s="19"/>
      <c r="M1624" s="19"/>
      <c r="N1624" s="19"/>
      <c r="O1624" s="19"/>
      <c r="P1624" s="19"/>
      <c r="Q1624" s="19"/>
      <c r="R1624" s="19"/>
      <c r="S1624" s="19"/>
      <c r="T1624" s="19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</row>
    <row r="1625" spans="1:34" ht="15.75" customHeight="1" x14ac:dyDescent="0.25">
      <c r="A1625" s="3"/>
      <c r="B1625" s="3"/>
      <c r="C1625" s="18"/>
      <c r="D1625" s="18"/>
      <c r="E1625" s="19"/>
      <c r="F1625" s="19"/>
      <c r="G1625" s="20"/>
      <c r="H1625" s="3"/>
      <c r="I1625" s="19"/>
      <c r="J1625" s="19"/>
      <c r="K1625" s="19"/>
      <c r="L1625" s="19"/>
      <c r="M1625" s="19"/>
      <c r="N1625" s="19"/>
      <c r="O1625" s="19"/>
      <c r="P1625" s="19"/>
      <c r="Q1625" s="19"/>
      <c r="R1625" s="19"/>
      <c r="S1625" s="19"/>
      <c r="T1625" s="19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</row>
    <row r="1626" spans="1:34" ht="15.75" customHeight="1" x14ac:dyDescent="0.25">
      <c r="A1626" s="3"/>
      <c r="B1626" s="3"/>
      <c r="C1626" s="18"/>
      <c r="D1626" s="18"/>
      <c r="E1626" s="19"/>
      <c r="F1626" s="19"/>
      <c r="G1626" s="20"/>
      <c r="H1626" s="3"/>
      <c r="I1626" s="19"/>
      <c r="J1626" s="19"/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</row>
    <row r="1627" spans="1:34" ht="15.75" customHeight="1" x14ac:dyDescent="0.25">
      <c r="A1627" s="3"/>
      <c r="B1627" s="3"/>
      <c r="C1627" s="18"/>
      <c r="D1627" s="18"/>
      <c r="E1627" s="19"/>
      <c r="F1627" s="19"/>
      <c r="G1627" s="20"/>
      <c r="H1627" s="3"/>
      <c r="I1627" s="19"/>
      <c r="J1627" s="19"/>
      <c r="K1627" s="19"/>
      <c r="L1627" s="19"/>
      <c r="M1627" s="19"/>
      <c r="N1627" s="19"/>
      <c r="O1627" s="19"/>
      <c r="P1627" s="19"/>
      <c r="Q1627" s="19"/>
      <c r="R1627" s="19"/>
      <c r="S1627" s="19"/>
      <c r="T1627" s="19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</row>
    <row r="1628" spans="1:34" ht="15.75" customHeight="1" x14ac:dyDescent="0.25">
      <c r="A1628" s="3"/>
      <c r="B1628" s="3"/>
      <c r="C1628" s="18"/>
      <c r="D1628" s="18"/>
      <c r="E1628" s="19"/>
      <c r="F1628" s="19"/>
      <c r="G1628" s="20"/>
      <c r="H1628" s="3"/>
      <c r="I1628" s="19"/>
      <c r="J1628" s="19"/>
      <c r="K1628" s="19"/>
      <c r="L1628" s="19"/>
      <c r="M1628" s="19"/>
      <c r="N1628" s="19"/>
      <c r="O1628" s="19"/>
      <c r="P1628" s="19"/>
      <c r="Q1628" s="19"/>
      <c r="R1628" s="19"/>
      <c r="S1628" s="19"/>
      <c r="T1628" s="19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</row>
    <row r="1629" spans="1:34" ht="15.75" customHeight="1" x14ac:dyDescent="0.25">
      <c r="A1629" s="3"/>
      <c r="B1629" s="3"/>
      <c r="C1629" s="18"/>
      <c r="D1629" s="18"/>
      <c r="E1629" s="19"/>
      <c r="F1629" s="19"/>
      <c r="G1629" s="20"/>
      <c r="H1629" s="3"/>
      <c r="I1629" s="19"/>
      <c r="J1629" s="19"/>
      <c r="K1629" s="19"/>
      <c r="L1629" s="19"/>
      <c r="M1629" s="19"/>
      <c r="N1629" s="19"/>
      <c r="O1629" s="19"/>
      <c r="P1629" s="19"/>
      <c r="Q1629" s="19"/>
      <c r="R1629" s="19"/>
      <c r="S1629" s="19"/>
      <c r="T1629" s="19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</row>
    <row r="1630" spans="1:34" ht="15.75" customHeight="1" x14ac:dyDescent="0.25">
      <c r="A1630" s="3"/>
      <c r="B1630" s="3"/>
      <c r="C1630" s="18"/>
      <c r="D1630" s="18"/>
      <c r="E1630" s="19"/>
      <c r="F1630" s="19"/>
      <c r="G1630" s="20"/>
      <c r="H1630" s="3"/>
      <c r="I1630" s="19"/>
      <c r="J1630" s="19"/>
      <c r="K1630" s="19"/>
      <c r="L1630" s="19"/>
      <c r="M1630" s="19"/>
      <c r="N1630" s="19"/>
      <c r="O1630" s="19"/>
      <c r="P1630" s="19"/>
      <c r="Q1630" s="19"/>
      <c r="R1630" s="19"/>
      <c r="S1630" s="19"/>
      <c r="T1630" s="19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</row>
    <row r="1631" spans="1:34" ht="15.75" customHeight="1" x14ac:dyDescent="0.25">
      <c r="A1631" s="3"/>
      <c r="B1631" s="3"/>
      <c r="C1631" s="18"/>
      <c r="D1631" s="18"/>
      <c r="E1631" s="19"/>
      <c r="F1631" s="19"/>
      <c r="G1631" s="20"/>
      <c r="H1631" s="3"/>
      <c r="I1631" s="19"/>
      <c r="J1631" s="19"/>
      <c r="K1631" s="19"/>
      <c r="L1631" s="19"/>
      <c r="M1631" s="19"/>
      <c r="N1631" s="19"/>
      <c r="O1631" s="19"/>
      <c r="P1631" s="19"/>
      <c r="Q1631" s="19"/>
      <c r="R1631" s="19"/>
      <c r="S1631" s="19"/>
      <c r="T1631" s="19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</row>
    <row r="1632" spans="1:34" ht="15.75" customHeight="1" x14ac:dyDescent="0.25">
      <c r="A1632" s="3"/>
      <c r="B1632" s="3"/>
      <c r="C1632" s="18"/>
      <c r="D1632" s="18"/>
      <c r="E1632" s="19"/>
      <c r="F1632" s="19"/>
      <c r="G1632" s="20"/>
      <c r="H1632" s="3"/>
      <c r="I1632" s="19"/>
      <c r="J1632" s="19"/>
      <c r="K1632" s="19"/>
      <c r="L1632" s="19"/>
      <c r="M1632" s="19"/>
      <c r="N1632" s="19"/>
      <c r="O1632" s="19"/>
      <c r="P1632" s="19"/>
      <c r="Q1632" s="19"/>
      <c r="R1632" s="19"/>
      <c r="S1632" s="19"/>
      <c r="T1632" s="19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</row>
    <row r="1633" spans="1:34" ht="15.75" customHeight="1" x14ac:dyDescent="0.25">
      <c r="A1633" s="3"/>
      <c r="B1633" s="3"/>
      <c r="C1633" s="18"/>
      <c r="D1633" s="18"/>
      <c r="E1633" s="19"/>
      <c r="F1633" s="19"/>
      <c r="G1633" s="20"/>
      <c r="H1633" s="3"/>
      <c r="I1633" s="19"/>
      <c r="J1633" s="19"/>
      <c r="K1633" s="19"/>
      <c r="L1633" s="19"/>
      <c r="M1633" s="19"/>
      <c r="N1633" s="19"/>
      <c r="O1633" s="19"/>
      <c r="P1633" s="19"/>
      <c r="Q1633" s="19"/>
      <c r="R1633" s="19"/>
      <c r="S1633" s="19"/>
      <c r="T1633" s="19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</row>
    <row r="1634" spans="1:34" ht="15.75" customHeight="1" x14ac:dyDescent="0.25">
      <c r="A1634" s="3"/>
      <c r="B1634" s="3"/>
      <c r="C1634" s="18"/>
      <c r="D1634" s="18"/>
      <c r="E1634" s="19"/>
      <c r="F1634" s="19"/>
      <c r="G1634" s="20"/>
      <c r="H1634" s="3"/>
      <c r="I1634" s="19"/>
      <c r="J1634" s="19"/>
      <c r="K1634" s="19"/>
      <c r="L1634" s="19"/>
      <c r="M1634" s="19"/>
      <c r="N1634" s="19"/>
      <c r="O1634" s="19"/>
      <c r="P1634" s="19"/>
      <c r="Q1634" s="19"/>
      <c r="R1634" s="19"/>
      <c r="S1634" s="19"/>
      <c r="T1634" s="19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</row>
    <row r="1635" spans="1:34" ht="15.75" customHeight="1" x14ac:dyDescent="0.25">
      <c r="A1635" s="3"/>
      <c r="B1635" s="3"/>
      <c r="C1635" s="18"/>
      <c r="D1635" s="18"/>
      <c r="E1635" s="19"/>
      <c r="F1635" s="19"/>
      <c r="G1635" s="20"/>
      <c r="H1635" s="3"/>
      <c r="I1635" s="19"/>
      <c r="J1635" s="19"/>
      <c r="K1635" s="19"/>
      <c r="L1635" s="19"/>
      <c r="M1635" s="19"/>
      <c r="N1635" s="19"/>
      <c r="O1635" s="19"/>
      <c r="P1635" s="19"/>
      <c r="Q1635" s="19"/>
      <c r="R1635" s="19"/>
      <c r="S1635" s="19"/>
      <c r="T1635" s="19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</row>
    <row r="1636" spans="1:34" ht="15.75" customHeight="1" x14ac:dyDescent="0.25">
      <c r="A1636" s="3"/>
      <c r="B1636" s="3"/>
      <c r="C1636" s="18"/>
      <c r="D1636" s="18"/>
      <c r="E1636" s="19"/>
      <c r="F1636" s="19"/>
      <c r="G1636" s="20"/>
      <c r="H1636" s="3"/>
      <c r="I1636" s="19"/>
      <c r="J1636" s="19"/>
      <c r="K1636" s="19"/>
      <c r="L1636" s="19"/>
      <c r="M1636" s="19"/>
      <c r="N1636" s="19"/>
      <c r="O1636" s="19"/>
      <c r="P1636" s="19"/>
      <c r="Q1636" s="19"/>
      <c r="R1636" s="19"/>
      <c r="S1636" s="19"/>
      <c r="T1636" s="19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</row>
    <row r="1637" spans="1:34" ht="15.75" customHeight="1" x14ac:dyDescent="0.25">
      <c r="A1637" s="3"/>
      <c r="B1637" s="3"/>
      <c r="C1637" s="18"/>
      <c r="D1637" s="18"/>
      <c r="E1637" s="19"/>
      <c r="F1637" s="19"/>
      <c r="G1637" s="20"/>
      <c r="H1637" s="3"/>
      <c r="I1637" s="19"/>
      <c r="J1637" s="19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</row>
    <row r="1638" spans="1:34" ht="15.75" customHeight="1" x14ac:dyDescent="0.25">
      <c r="A1638" s="3"/>
      <c r="B1638" s="3"/>
      <c r="C1638" s="18"/>
      <c r="D1638" s="18"/>
      <c r="E1638" s="19"/>
      <c r="F1638" s="19"/>
      <c r="G1638" s="20"/>
      <c r="H1638" s="3"/>
      <c r="I1638" s="19"/>
      <c r="J1638" s="19"/>
      <c r="K1638" s="19"/>
      <c r="L1638" s="19"/>
      <c r="M1638" s="19"/>
      <c r="N1638" s="19"/>
      <c r="O1638" s="19"/>
      <c r="P1638" s="19"/>
      <c r="Q1638" s="19"/>
      <c r="R1638" s="19"/>
      <c r="S1638" s="19"/>
      <c r="T1638" s="19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</row>
    <row r="1639" spans="1:34" ht="15.75" customHeight="1" x14ac:dyDescent="0.25">
      <c r="A1639" s="3"/>
      <c r="B1639" s="3"/>
      <c r="C1639" s="18"/>
      <c r="D1639" s="18"/>
      <c r="E1639" s="19"/>
      <c r="F1639" s="19"/>
      <c r="G1639" s="20"/>
      <c r="H1639" s="3"/>
      <c r="I1639" s="19"/>
      <c r="J1639" s="19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</row>
    <row r="1640" spans="1:34" ht="15.75" customHeight="1" x14ac:dyDescent="0.25">
      <c r="A1640" s="3"/>
      <c r="B1640" s="3"/>
      <c r="C1640" s="18"/>
      <c r="D1640" s="18"/>
      <c r="E1640" s="19"/>
      <c r="F1640" s="19"/>
      <c r="G1640" s="20"/>
      <c r="H1640" s="3"/>
      <c r="I1640" s="19"/>
      <c r="J1640" s="19"/>
      <c r="K1640" s="19"/>
      <c r="L1640" s="19"/>
      <c r="M1640" s="19"/>
      <c r="N1640" s="19"/>
      <c r="O1640" s="19"/>
      <c r="P1640" s="19"/>
      <c r="Q1640" s="19"/>
      <c r="R1640" s="19"/>
      <c r="S1640" s="19"/>
      <c r="T1640" s="19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</row>
    <row r="1641" spans="1:34" ht="15.75" customHeight="1" x14ac:dyDescent="0.25">
      <c r="A1641" s="3"/>
      <c r="B1641" s="3"/>
      <c r="C1641" s="18"/>
      <c r="D1641" s="18"/>
      <c r="E1641" s="19"/>
      <c r="F1641" s="19"/>
      <c r="G1641" s="20"/>
      <c r="H1641" s="3"/>
      <c r="I1641" s="19"/>
      <c r="J1641" s="19"/>
      <c r="K1641" s="19"/>
      <c r="L1641" s="19"/>
      <c r="M1641" s="19"/>
      <c r="N1641" s="19"/>
      <c r="O1641" s="19"/>
      <c r="P1641" s="19"/>
      <c r="Q1641" s="19"/>
      <c r="R1641" s="19"/>
      <c r="S1641" s="19"/>
      <c r="T1641" s="19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</row>
    <row r="1642" spans="1:34" ht="15.75" customHeight="1" x14ac:dyDescent="0.25">
      <c r="A1642" s="3"/>
      <c r="B1642" s="3"/>
      <c r="C1642" s="18"/>
      <c r="D1642" s="18"/>
      <c r="E1642" s="19"/>
      <c r="F1642" s="19"/>
      <c r="G1642" s="20"/>
      <c r="H1642" s="3"/>
      <c r="I1642" s="19"/>
      <c r="J1642" s="19"/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</row>
    <row r="1643" spans="1:34" ht="15.75" customHeight="1" x14ac:dyDescent="0.25">
      <c r="A1643" s="3"/>
      <c r="B1643" s="3"/>
      <c r="C1643" s="18"/>
      <c r="D1643" s="18"/>
      <c r="E1643" s="19"/>
      <c r="F1643" s="19"/>
      <c r="G1643" s="20"/>
      <c r="H1643" s="3"/>
      <c r="I1643" s="19"/>
      <c r="J1643" s="19"/>
      <c r="K1643" s="19"/>
      <c r="L1643" s="19"/>
      <c r="M1643" s="19"/>
      <c r="N1643" s="19"/>
      <c r="O1643" s="19"/>
      <c r="P1643" s="19"/>
      <c r="Q1643" s="19"/>
      <c r="R1643" s="19"/>
      <c r="S1643" s="19"/>
      <c r="T1643" s="19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</row>
    <row r="1644" spans="1:34" ht="15.75" customHeight="1" x14ac:dyDescent="0.25">
      <c r="A1644" s="3"/>
      <c r="B1644" s="3"/>
      <c r="C1644" s="18"/>
      <c r="D1644" s="18"/>
      <c r="E1644" s="19"/>
      <c r="F1644" s="19"/>
      <c r="G1644" s="20"/>
      <c r="H1644" s="3"/>
      <c r="I1644" s="19"/>
      <c r="J1644" s="19"/>
      <c r="K1644" s="19"/>
      <c r="L1644" s="19"/>
      <c r="M1644" s="19"/>
      <c r="N1644" s="19"/>
      <c r="O1644" s="19"/>
      <c r="P1644" s="19"/>
      <c r="Q1644" s="19"/>
      <c r="R1644" s="19"/>
      <c r="S1644" s="19"/>
      <c r="T1644" s="19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</row>
    <row r="1645" spans="1:34" ht="15.75" customHeight="1" x14ac:dyDescent="0.25">
      <c r="A1645" s="3"/>
      <c r="B1645" s="3"/>
      <c r="C1645" s="18"/>
      <c r="D1645" s="18"/>
      <c r="E1645" s="19"/>
      <c r="F1645" s="19"/>
      <c r="G1645" s="20"/>
      <c r="H1645" s="3"/>
      <c r="I1645" s="19"/>
      <c r="J1645" s="19"/>
      <c r="K1645" s="19"/>
      <c r="L1645" s="19"/>
      <c r="M1645" s="19"/>
      <c r="N1645" s="19"/>
      <c r="O1645" s="19"/>
      <c r="P1645" s="19"/>
      <c r="Q1645" s="19"/>
      <c r="R1645" s="19"/>
      <c r="S1645" s="19"/>
      <c r="T1645" s="19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</row>
    <row r="1646" spans="1:34" ht="15.75" customHeight="1" x14ac:dyDescent="0.25">
      <c r="A1646" s="3"/>
      <c r="B1646" s="3"/>
      <c r="C1646" s="18"/>
      <c r="D1646" s="18"/>
      <c r="E1646" s="19"/>
      <c r="F1646" s="19"/>
      <c r="G1646" s="20"/>
      <c r="H1646" s="3"/>
      <c r="I1646" s="19"/>
      <c r="J1646" s="19"/>
      <c r="K1646" s="19"/>
      <c r="L1646" s="19"/>
      <c r="M1646" s="19"/>
      <c r="N1646" s="19"/>
      <c r="O1646" s="19"/>
      <c r="P1646" s="19"/>
      <c r="Q1646" s="19"/>
      <c r="R1646" s="19"/>
      <c r="S1646" s="19"/>
      <c r="T1646" s="19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</row>
    <row r="1647" spans="1:34" ht="15.75" customHeight="1" x14ac:dyDescent="0.25">
      <c r="A1647" s="3"/>
      <c r="B1647" s="3"/>
      <c r="C1647" s="18"/>
      <c r="D1647" s="18"/>
      <c r="E1647" s="19"/>
      <c r="F1647" s="19"/>
      <c r="G1647" s="20"/>
      <c r="H1647" s="3"/>
      <c r="I1647" s="19"/>
      <c r="J1647" s="19"/>
      <c r="K1647" s="19"/>
      <c r="L1647" s="19"/>
      <c r="M1647" s="19"/>
      <c r="N1647" s="19"/>
      <c r="O1647" s="19"/>
      <c r="P1647" s="19"/>
      <c r="Q1647" s="19"/>
      <c r="R1647" s="19"/>
      <c r="S1647" s="19"/>
      <c r="T1647" s="19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</row>
    <row r="1648" spans="1:34" ht="15.75" customHeight="1" x14ac:dyDescent="0.25">
      <c r="A1648" s="3"/>
      <c r="B1648" s="3"/>
      <c r="C1648" s="18"/>
      <c r="D1648" s="18"/>
      <c r="E1648" s="19"/>
      <c r="F1648" s="19"/>
      <c r="G1648" s="20"/>
      <c r="H1648" s="3"/>
      <c r="I1648" s="19"/>
      <c r="J1648" s="19"/>
      <c r="K1648" s="19"/>
      <c r="L1648" s="19"/>
      <c r="M1648" s="19"/>
      <c r="N1648" s="19"/>
      <c r="O1648" s="19"/>
      <c r="P1648" s="19"/>
      <c r="Q1648" s="19"/>
      <c r="R1648" s="19"/>
      <c r="S1648" s="19"/>
      <c r="T1648" s="19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</row>
    <row r="1649" spans="1:34" ht="15.75" customHeight="1" x14ac:dyDescent="0.25">
      <c r="A1649" s="3"/>
      <c r="B1649" s="3"/>
      <c r="C1649" s="18"/>
      <c r="D1649" s="18"/>
      <c r="E1649" s="19"/>
      <c r="F1649" s="19"/>
      <c r="G1649" s="20"/>
      <c r="H1649" s="3"/>
      <c r="I1649" s="19"/>
      <c r="J1649" s="19"/>
      <c r="K1649" s="19"/>
      <c r="L1649" s="19"/>
      <c r="M1649" s="19"/>
      <c r="N1649" s="19"/>
      <c r="O1649" s="19"/>
      <c r="P1649" s="19"/>
      <c r="Q1649" s="19"/>
      <c r="R1649" s="19"/>
      <c r="S1649" s="19"/>
      <c r="T1649" s="19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</row>
    <row r="1650" spans="1:34" ht="15.75" customHeight="1" x14ac:dyDescent="0.25">
      <c r="A1650" s="3"/>
      <c r="B1650" s="3"/>
      <c r="C1650" s="18"/>
      <c r="D1650" s="18"/>
      <c r="E1650" s="19"/>
      <c r="F1650" s="19"/>
      <c r="G1650" s="20"/>
      <c r="H1650" s="3"/>
      <c r="I1650" s="19"/>
      <c r="J1650" s="19"/>
      <c r="K1650" s="19"/>
      <c r="L1650" s="19"/>
      <c r="M1650" s="19"/>
      <c r="N1650" s="19"/>
      <c r="O1650" s="19"/>
      <c r="P1650" s="19"/>
      <c r="Q1650" s="19"/>
      <c r="R1650" s="19"/>
      <c r="S1650" s="19"/>
      <c r="T1650" s="19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</row>
    <row r="1651" spans="1:34" ht="15.75" customHeight="1" x14ac:dyDescent="0.25">
      <c r="A1651" s="3"/>
      <c r="B1651" s="3"/>
      <c r="C1651" s="18"/>
      <c r="D1651" s="18"/>
      <c r="E1651" s="19"/>
      <c r="F1651" s="19"/>
      <c r="G1651" s="20"/>
      <c r="H1651" s="3"/>
      <c r="I1651" s="19"/>
      <c r="J1651" s="19"/>
      <c r="K1651" s="19"/>
      <c r="L1651" s="19"/>
      <c r="M1651" s="19"/>
      <c r="N1651" s="19"/>
      <c r="O1651" s="19"/>
      <c r="P1651" s="19"/>
      <c r="Q1651" s="19"/>
      <c r="R1651" s="19"/>
      <c r="S1651" s="19"/>
      <c r="T1651" s="19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</row>
    <row r="1652" spans="1:34" ht="15.75" customHeight="1" x14ac:dyDescent="0.25">
      <c r="A1652" s="3"/>
      <c r="B1652" s="3"/>
      <c r="C1652" s="18"/>
      <c r="D1652" s="18"/>
      <c r="E1652" s="19"/>
      <c r="F1652" s="19"/>
      <c r="G1652" s="20"/>
      <c r="H1652" s="3"/>
      <c r="I1652" s="19"/>
      <c r="J1652" s="19"/>
      <c r="K1652" s="19"/>
      <c r="L1652" s="19"/>
      <c r="M1652" s="19"/>
      <c r="N1652" s="19"/>
      <c r="O1652" s="19"/>
      <c r="P1652" s="19"/>
      <c r="Q1652" s="19"/>
      <c r="R1652" s="19"/>
      <c r="S1652" s="19"/>
      <c r="T1652" s="19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</row>
    <row r="1653" spans="1:34" ht="15.75" customHeight="1" x14ac:dyDescent="0.25">
      <c r="A1653" s="3"/>
      <c r="B1653" s="3"/>
      <c r="C1653" s="18"/>
      <c r="D1653" s="18"/>
      <c r="E1653" s="19"/>
      <c r="F1653" s="19"/>
      <c r="G1653" s="20"/>
      <c r="H1653" s="3"/>
      <c r="I1653" s="19"/>
      <c r="J1653" s="19"/>
      <c r="K1653" s="19"/>
      <c r="L1653" s="19"/>
      <c r="M1653" s="19"/>
      <c r="N1653" s="19"/>
      <c r="O1653" s="19"/>
      <c r="P1653" s="19"/>
      <c r="Q1653" s="19"/>
      <c r="R1653" s="19"/>
      <c r="S1653" s="19"/>
      <c r="T1653" s="19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</row>
    <row r="1654" spans="1:34" ht="15.75" customHeight="1" x14ac:dyDescent="0.25">
      <c r="A1654" s="3"/>
      <c r="B1654" s="3"/>
      <c r="C1654" s="18"/>
      <c r="D1654" s="18"/>
      <c r="E1654" s="19"/>
      <c r="F1654" s="19"/>
      <c r="G1654" s="20"/>
      <c r="H1654" s="3"/>
      <c r="I1654" s="19"/>
      <c r="J1654" s="19"/>
      <c r="K1654" s="19"/>
      <c r="L1654" s="19"/>
      <c r="M1654" s="19"/>
      <c r="N1654" s="19"/>
      <c r="O1654" s="19"/>
      <c r="P1654" s="19"/>
      <c r="Q1654" s="19"/>
      <c r="R1654" s="19"/>
      <c r="S1654" s="19"/>
      <c r="T1654" s="19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</row>
    <row r="1655" spans="1:34" ht="15.75" customHeight="1" x14ac:dyDescent="0.25">
      <c r="A1655" s="3"/>
      <c r="B1655" s="3"/>
      <c r="C1655" s="18"/>
      <c r="D1655" s="18"/>
      <c r="E1655" s="19"/>
      <c r="F1655" s="19"/>
      <c r="G1655" s="20"/>
      <c r="H1655" s="3"/>
      <c r="I1655" s="19"/>
      <c r="J1655" s="19"/>
      <c r="K1655" s="19"/>
      <c r="L1655" s="19"/>
      <c r="M1655" s="19"/>
      <c r="N1655" s="19"/>
      <c r="O1655" s="19"/>
      <c r="P1655" s="19"/>
      <c r="Q1655" s="19"/>
      <c r="R1655" s="19"/>
      <c r="S1655" s="19"/>
      <c r="T1655" s="19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</row>
    <row r="1656" spans="1:34" ht="15.75" customHeight="1" x14ac:dyDescent="0.25">
      <c r="A1656" s="3"/>
      <c r="B1656" s="3"/>
      <c r="C1656" s="18"/>
      <c r="D1656" s="18"/>
      <c r="E1656" s="19"/>
      <c r="F1656" s="19"/>
      <c r="G1656" s="20"/>
      <c r="H1656" s="3"/>
      <c r="I1656" s="19"/>
      <c r="J1656" s="19"/>
      <c r="K1656" s="19"/>
      <c r="L1656" s="19"/>
      <c r="M1656" s="19"/>
      <c r="N1656" s="19"/>
      <c r="O1656" s="19"/>
      <c r="P1656" s="19"/>
      <c r="Q1656" s="19"/>
      <c r="R1656" s="19"/>
      <c r="S1656" s="19"/>
      <c r="T1656" s="19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</row>
    <row r="1657" spans="1:34" ht="15.75" customHeight="1" x14ac:dyDescent="0.25">
      <c r="A1657" s="3"/>
      <c r="B1657" s="3"/>
      <c r="C1657" s="18"/>
      <c r="D1657" s="18"/>
      <c r="E1657" s="19"/>
      <c r="F1657" s="19"/>
      <c r="G1657" s="20"/>
      <c r="H1657" s="3"/>
      <c r="I1657" s="19"/>
      <c r="J1657" s="19"/>
      <c r="K1657" s="19"/>
      <c r="L1657" s="19"/>
      <c r="M1657" s="19"/>
      <c r="N1657" s="19"/>
      <c r="O1657" s="19"/>
      <c r="P1657" s="19"/>
      <c r="Q1657" s="19"/>
      <c r="R1657" s="19"/>
      <c r="S1657" s="19"/>
      <c r="T1657" s="19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</row>
    <row r="1658" spans="1:34" ht="15.75" customHeight="1" x14ac:dyDescent="0.25">
      <c r="A1658" s="3"/>
      <c r="B1658" s="3"/>
      <c r="C1658" s="18"/>
      <c r="D1658" s="18"/>
      <c r="E1658" s="19"/>
      <c r="F1658" s="19"/>
      <c r="G1658" s="20"/>
      <c r="H1658" s="3"/>
      <c r="I1658" s="19"/>
      <c r="J1658" s="19"/>
      <c r="K1658" s="19"/>
      <c r="L1658" s="19"/>
      <c r="M1658" s="19"/>
      <c r="N1658" s="19"/>
      <c r="O1658" s="19"/>
      <c r="P1658" s="19"/>
      <c r="Q1658" s="19"/>
      <c r="R1658" s="19"/>
      <c r="S1658" s="19"/>
      <c r="T1658" s="19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</row>
    <row r="1659" spans="1:34" ht="15.75" customHeight="1" x14ac:dyDescent="0.25">
      <c r="A1659" s="3"/>
      <c r="B1659" s="3"/>
      <c r="C1659" s="18"/>
      <c r="D1659" s="18"/>
      <c r="E1659" s="19"/>
      <c r="F1659" s="19"/>
      <c r="G1659" s="20"/>
      <c r="H1659" s="3"/>
      <c r="I1659" s="19"/>
      <c r="J1659" s="19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</row>
    <row r="1660" spans="1:34" ht="15.75" customHeight="1" x14ac:dyDescent="0.25">
      <c r="A1660" s="3"/>
      <c r="B1660" s="3"/>
      <c r="C1660" s="18"/>
      <c r="D1660" s="18"/>
      <c r="E1660" s="19"/>
      <c r="F1660" s="19"/>
      <c r="G1660" s="20"/>
      <c r="H1660" s="3"/>
      <c r="I1660" s="19"/>
      <c r="J1660" s="19"/>
      <c r="K1660" s="19"/>
      <c r="L1660" s="19"/>
      <c r="M1660" s="19"/>
      <c r="N1660" s="19"/>
      <c r="O1660" s="19"/>
      <c r="P1660" s="19"/>
      <c r="Q1660" s="19"/>
      <c r="R1660" s="19"/>
      <c r="S1660" s="19"/>
      <c r="T1660" s="19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</row>
    <row r="1661" spans="1:34" ht="15.75" customHeight="1" x14ac:dyDescent="0.25">
      <c r="A1661" s="3"/>
      <c r="B1661" s="3"/>
      <c r="C1661" s="18"/>
      <c r="D1661" s="18"/>
      <c r="E1661" s="19"/>
      <c r="F1661" s="19"/>
      <c r="G1661" s="20"/>
      <c r="H1661" s="3"/>
      <c r="I1661" s="19"/>
      <c r="J1661" s="19"/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</row>
    <row r="1662" spans="1:34" ht="15.75" customHeight="1" x14ac:dyDescent="0.25">
      <c r="A1662" s="3"/>
      <c r="B1662" s="3"/>
      <c r="C1662" s="18"/>
      <c r="D1662" s="18"/>
      <c r="E1662" s="19"/>
      <c r="F1662" s="19"/>
      <c r="G1662" s="20"/>
      <c r="H1662" s="3"/>
      <c r="I1662" s="19"/>
      <c r="J1662" s="19"/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</row>
    <row r="1663" spans="1:34" ht="15.75" customHeight="1" x14ac:dyDescent="0.25">
      <c r="A1663" s="3"/>
      <c r="B1663" s="3"/>
      <c r="C1663" s="18"/>
      <c r="D1663" s="18"/>
      <c r="E1663" s="19"/>
      <c r="F1663" s="19"/>
      <c r="G1663" s="20"/>
      <c r="H1663" s="3"/>
      <c r="I1663" s="19"/>
      <c r="J1663" s="19"/>
      <c r="K1663" s="19"/>
      <c r="L1663" s="19"/>
      <c r="M1663" s="19"/>
      <c r="N1663" s="19"/>
      <c r="O1663" s="19"/>
      <c r="P1663" s="19"/>
      <c r="Q1663" s="19"/>
      <c r="R1663" s="19"/>
      <c r="S1663" s="19"/>
      <c r="T1663" s="19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</row>
    <row r="1664" spans="1:34" ht="15.75" customHeight="1" x14ac:dyDescent="0.25">
      <c r="A1664" s="3"/>
      <c r="B1664" s="3"/>
      <c r="C1664" s="18"/>
      <c r="D1664" s="18"/>
      <c r="E1664" s="19"/>
      <c r="F1664" s="19"/>
      <c r="G1664" s="20"/>
      <c r="H1664" s="3"/>
      <c r="I1664" s="19"/>
      <c r="J1664" s="19"/>
      <c r="K1664" s="19"/>
      <c r="L1664" s="19"/>
      <c r="M1664" s="19"/>
      <c r="N1664" s="19"/>
      <c r="O1664" s="19"/>
      <c r="P1664" s="19"/>
      <c r="Q1664" s="19"/>
      <c r="R1664" s="19"/>
      <c r="S1664" s="19"/>
      <c r="T1664" s="19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</row>
    <row r="1665" spans="1:34" ht="15.75" customHeight="1" x14ac:dyDescent="0.25">
      <c r="A1665" s="3"/>
      <c r="B1665" s="3"/>
      <c r="C1665" s="18"/>
      <c r="D1665" s="18"/>
      <c r="E1665" s="19"/>
      <c r="F1665" s="19"/>
      <c r="G1665" s="20"/>
      <c r="H1665" s="3"/>
      <c r="I1665" s="19"/>
      <c r="J1665" s="19"/>
      <c r="K1665" s="19"/>
      <c r="L1665" s="19"/>
      <c r="M1665" s="19"/>
      <c r="N1665" s="19"/>
      <c r="O1665" s="19"/>
      <c r="P1665" s="19"/>
      <c r="Q1665" s="19"/>
      <c r="R1665" s="19"/>
      <c r="S1665" s="19"/>
      <c r="T1665" s="19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</row>
    <row r="1666" spans="1:34" ht="15.75" customHeight="1" x14ac:dyDescent="0.25">
      <c r="A1666" s="3"/>
      <c r="B1666" s="3"/>
      <c r="C1666" s="18"/>
      <c r="D1666" s="18"/>
      <c r="E1666" s="19"/>
      <c r="F1666" s="19"/>
      <c r="G1666" s="20"/>
      <c r="H1666" s="3"/>
      <c r="I1666" s="19"/>
      <c r="J1666" s="19"/>
      <c r="K1666" s="19"/>
      <c r="L1666" s="19"/>
      <c r="M1666" s="19"/>
      <c r="N1666" s="19"/>
      <c r="O1666" s="19"/>
      <c r="P1666" s="19"/>
      <c r="Q1666" s="19"/>
      <c r="R1666" s="19"/>
      <c r="S1666" s="19"/>
      <c r="T1666" s="19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</row>
    <row r="1667" spans="1:34" ht="15.75" customHeight="1" x14ac:dyDescent="0.25">
      <c r="A1667" s="3"/>
      <c r="B1667" s="3"/>
      <c r="C1667" s="18"/>
      <c r="D1667" s="18"/>
      <c r="E1667" s="19"/>
      <c r="F1667" s="19"/>
      <c r="G1667" s="20"/>
      <c r="H1667" s="3"/>
      <c r="I1667" s="19"/>
      <c r="J1667" s="19"/>
      <c r="K1667" s="19"/>
      <c r="L1667" s="19"/>
      <c r="M1667" s="19"/>
      <c r="N1667" s="19"/>
      <c r="O1667" s="19"/>
      <c r="P1667" s="19"/>
      <c r="Q1667" s="19"/>
      <c r="R1667" s="19"/>
      <c r="S1667" s="19"/>
      <c r="T1667" s="19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</row>
    <row r="1668" spans="1:34" ht="15.75" customHeight="1" x14ac:dyDescent="0.25">
      <c r="A1668" s="3"/>
      <c r="B1668" s="3"/>
      <c r="C1668" s="18"/>
      <c r="D1668" s="18"/>
      <c r="E1668" s="19"/>
      <c r="F1668" s="19"/>
      <c r="G1668" s="20"/>
      <c r="H1668" s="3"/>
      <c r="I1668" s="19"/>
      <c r="J1668" s="19"/>
      <c r="K1668" s="19"/>
      <c r="L1668" s="19"/>
      <c r="M1668" s="19"/>
      <c r="N1668" s="19"/>
      <c r="O1668" s="19"/>
      <c r="P1668" s="19"/>
      <c r="Q1668" s="19"/>
      <c r="R1668" s="19"/>
      <c r="S1668" s="19"/>
      <c r="T1668" s="19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</row>
    <row r="1669" spans="1:34" ht="15.75" customHeight="1" x14ac:dyDescent="0.25">
      <c r="A1669" s="3"/>
      <c r="B1669" s="3"/>
      <c r="C1669" s="18"/>
      <c r="D1669" s="18"/>
      <c r="E1669" s="19"/>
      <c r="F1669" s="19"/>
      <c r="G1669" s="20"/>
      <c r="H1669" s="3"/>
      <c r="I1669" s="19"/>
      <c r="J1669" s="19"/>
      <c r="K1669" s="19"/>
      <c r="L1669" s="19"/>
      <c r="M1669" s="19"/>
      <c r="N1669" s="19"/>
      <c r="O1669" s="19"/>
      <c r="P1669" s="19"/>
      <c r="Q1669" s="19"/>
      <c r="R1669" s="19"/>
      <c r="S1669" s="19"/>
      <c r="T1669" s="19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</row>
    <row r="1670" spans="1:34" ht="15.75" customHeight="1" x14ac:dyDescent="0.25">
      <c r="A1670" s="3"/>
      <c r="B1670" s="3"/>
      <c r="C1670" s="18"/>
      <c r="D1670" s="18"/>
      <c r="E1670" s="19"/>
      <c r="F1670" s="19"/>
      <c r="G1670" s="20"/>
      <c r="H1670" s="3"/>
      <c r="I1670" s="19"/>
      <c r="J1670" s="19"/>
      <c r="K1670" s="19"/>
      <c r="L1670" s="19"/>
      <c r="M1670" s="19"/>
      <c r="N1670" s="19"/>
      <c r="O1670" s="19"/>
      <c r="P1670" s="19"/>
      <c r="Q1670" s="19"/>
      <c r="R1670" s="19"/>
      <c r="S1670" s="19"/>
      <c r="T1670" s="19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</row>
    <row r="1671" spans="1:34" ht="15.75" customHeight="1" x14ac:dyDescent="0.25">
      <c r="A1671" s="3"/>
      <c r="B1671" s="3"/>
      <c r="C1671" s="18"/>
      <c r="D1671" s="18"/>
      <c r="E1671" s="19"/>
      <c r="F1671" s="19"/>
      <c r="G1671" s="20"/>
      <c r="H1671" s="3"/>
      <c r="I1671" s="19"/>
      <c r="J1671" s="19"/>
      <c r="K1671" s="19"/>
      <c r="L1671" s="19"/>
      <c r="M1671" s="19"/>
      <c r="N1671" s="19"/>
      <c r="O1671" s="19"/>
      <c r="P1671" s="19"/>
      <c r="Q1671" s="19"/>
      <c r="R1671" s="19"/>
      <c r="S1671" s="19"/>
      <c r="T1671" s="19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</row>
    <row r="1672" spans="1:34" ht="15.75" customHeight="1" x14ac:dyDescent="0.25">
      <c r="A1672" s="3"/>
      <c r="B1672" s="3"/>
      <c r="C1672" s="18"/>
      <c r="D1672" s="18"/>
      <c r="E1672" s="19"/>
      <c r="F1672" s="19"/>
      <c r="G1672" s="20"/>
      <c r="H1672" s="3"/>
      <c r="I1672" s="19"/>
      <c r="J1672" s="19"/>
      <c r="K1672" s="19"/>
      <c r="L1672" s="19"/>
      <c r="M1672" s="19"/>
      <c r="N1672" s="19"/>
      <c r="O1672" s="19"/>
      <c r="P1672" s="19"/>
      <c r="Q1672" s="19"/>
      <c r="R1672" s="19"/>
      <c r="S1672" s="19"/>
      <c r="T1672" s="19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</row>
    <row r="1673" spans="1:34" ht="15.75" customHeight="1" x14ac:dyDescent="0.25">
      <c r="A1673" s="3"/>
      <c r="B1673" s="3"/>
      <c r="C1673" s="18"/>
      <c r="D1673" s="18"/>
      <c r="E1673" s="19"/>
      <c r="F1673" s="19"/>
      <c r="G1673" s="20"/>
      <c r="H1673" s="3"/>
      <c r="I1673" s="19"/>
      <c r="J1673" s="19"/>
      <c r="K1673" s="19"/>
      <c r="L1673" s="19"/>
      <c r="M1673" s="19"/>
      <c r="N1673" s="19"/>
      <c r="O1673" s="19"/>
      <c r="P1673" s="19"/>
      <c r="Q1673" s="19"/>
      <c r="R1673" s="19"/>
      <c r="S1673" s="19"/>
      <c r="T1673" s="19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</row>
    <row r="1674" spans="1:34" ht="15.75" customHeight="1" x14ac:dyDescent="0.25">
      <c r="A1674" s="3"/>
      <c r="B1674" s="3"/>
      <c r="C1674" s="18"/>
      <c r="D1674" s="18"/>
      <c r="E1674" s="19"/>
      <c r="F1674" s="19"/>
      <c r="G1674" s="20"/>
      <c r="H1674" s="3"/>
      <c r="I1674" s="19"/>
      <c r="J1674" s="19"/>
      <c r="K1674" s="19"/>
      <c r="L1674" s="19"/>
      <c r="M1674" s="19"/>
      <c r="N1674" s="19"/>
      <c r="O1674" s="19"/>
      <c r="P1674" s="19"/>
      <c r="Q1674" s="19"/>
      <c r="R1674" s="19"/>
      <c r="S1674" s="19"/>
      <c r="T1674" s="19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</row>
    <row r="1675" spans="1:34" ht="15.75" customHeight="1" x14ac:dyDescent="0.25">
      <c r="A1675" s="3"/>
      <c r="B1675" s="3"/>
      <c r="C1675" s="18"/>
      <c r="D1675" s="18"/>
      <c r="E1675" s="19"/>
      <c r="F1675" s="19"/>
      <c r="G1675" s="20"/>
      <c r="H1675" s="3"/>
      <c r="I1675" s="19"/>
      <c r="J1675" s="19"/>
      <c r="K1675" s="19"/>
      <c r="L1675" s="19"/>
      <c r="M1675" s="19"/>
      <c r="N1675" s="19"/>
      <c r="O1675" s="19"/>
      <c r="P1675" s="19"/>
      <c r="Q1675" s="19"/>
      <c r="R1675" s="19"/>
      <c r="S1675" s="19"/>
      <c r="T1675" s="19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</row>
    <row r="1676" spans="1:34" ht="15.75" customHeight="1" x14ac:dyDescent="0.25">
      <c r="A1676" s="3"/>
      <c r="B1676" s="3"/>
      <c r="C1676" s="18"/>
      <c r="D1676" s="18"/>
      <c r="E1676" s="19"/>
      <c r="F1676" s="19"/>
      <c r="G1676" s="20"/>
      <c r="H1676" s="3"/>
      <c r="I1676" s="19"/>
      <c r="J1676" s="19"/>
      <c r="K1676" s="19"/>
      <c r="L1676" s="19"/>
      <c r="M1676" s="19"/>
      <c r="N1676" s="19"/>
      <c r="O1676" s="19"/>
      <c r="P1676" s="19"/>
      <c r="Q1676" s="19"/>
      <c r="R1676" s="19"/>
      <c r="S1676" s="19"/>
      <c r="T1676" s="19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</row>
    <row r="1677" spans="1:34" ht="15.75" customHeight="1" x14ac:dyDescent="0.25">
      <c r="A1677" s="3"/>
      <c r="B1677" s="3"/>
      <c r="C1677" s="18"/>
      <c r="D1677" s="18"/>
      <c r="E1677" s="19"/>
      <c r="F1677" s="19"/>
      <c r="G1677" s="20"/>
      <c r="H1677" s="3"/>
      <c r="I1677" s="19"/>
      <c r="J1677" s="19"/>
      <c r="K1677" s="19"/>
      <c r="L1677" s="19"/>
      <c r="M1677" s="19"/>
      <c r="N1677" s="19"/>
      <c r="O1677" s="19"/>
      <c r="P1677" s="19"/>
      <c r="Q1677" s="19"/>
      <c r="R1677" s="19"/>
      <c r="S1677" s="19"/>
      <c r="T1677" s="19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</row>
    <row r="1678" spans="1:34" ht="15.75" customHeight="1" x14ac:dyDescent="0.25">
      <c r="A1678" s="3"/>
      <c r="B1678" s="3"/>
      <c r="C1678" s="18"/>
      <c r="D1678" s="18"/>
      <c r="E1678" s="19"/>
      <c r="F1678" s="19"/>
      <c r="G1678" s="20"/>
      <c r="H1678" s="3"/>
      <c r="I1678" s="19"/>
      <c r="J1678" s="19"/>
      <c r="K1678" s="19"/>
      <c r="L1678" s="19"/>
      <c r="M1678" s="19"/>
      <c r="N1678" s="19"/>
      <c r="O1678" s="19"/>
      <c r="P1678" s="19"/>
      <c r="Q1678" s="19"/>
      <c r="R1678" s="19"/>
      <c r="S1678" s="19"/>
      <c r="T1678" s="19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</row>
    <row r="1679" spans="1:34" ht="15.75" customHeight="1" x14ac:dyDescent="0.25">
      <c r="A1679" s="3"/>
      <c r="B1679" s="3"/>
      <c r="C1679" s="18"/>
      <c r="D1679" s="18"/>
      <c r="E1679" s="19"/>
      <c r="F1679" s="19"/>
      <c r="G1679" s="20"/>
      <c r="H1679" s="3"/>
      <c r="I1679" s="19"/>
      <c r="J1679" s="19"/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</row>
    <row r="1680" spans="1:34" ht="15.75" customHeight="1" x14ac:dyDescent="0.25">
      <c r="A1680" s="3"/>
      <c r="B1680" s="3"/>
      <c r="C1680" s="18"/>
      <c r="D1680" s="18"/>
      <c r="E1680" s="19"/>
      <c r="F1680" s="19"/>
      <c r="G1680" s="20"/>
      <c r="H1680" s="3"/>
      <c r="I1680" s="19"/>
      <c r="J1680" s="19"/>
      <c r="K1680" s="19"/>
      <c r="L1680" s="19"/>
      <c r="M1680" s="19"/>
      <c r="N1680" s="19"/>
      <c r="O1680" s="19"/>
      <c r="P1680" s="19"/>
      <c r="Q1680" s="19"/>
      <c r="R1680" s="19"/>
      <c r="S1680" s="19"/>
      <c r="T1680" s="19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</row>
    <row r="1681" spans="1:34" ht="15.75" customHeight="1" x14ac:dyDescent="0.25">
      <c r="A1681" s="3"/>
      <c r="B1681" s="3"/>
      <c r="C1681" s="18"/>
      <c r="D1681" s="18"/>
      <c r="E1681" s="19"/>
      <c r="F1681" s="19"/>
      <c r="G1681" s="20"/>
      <c r="H1681" s="3"/>
      <c r="I1681" s="19"/>
      <c r="J1681" s="19"/>
      <c r="K1681" s="19"/>
      <c r="L1681" s="19"/>
      <c r="M1681" s="19"/>
      <c r="N1681" s="19"/>
      <c r="O1681" s="19"/>
      <c r="P1681" s="19"/>
      <c r="Q1681" s="19"/>
      <c r="R1681" s="19"/>
      <c r="S1681" s="19"/>
      <c r="T1681" s="19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</row>
    <row r="1682" spans="1:34" ht="15.75" customHeight="1" x14ac:dyDescent="0.25">
      <c r="A1682" s="3"/>
      <c r="B1682" s="3"/>
      <c r="C1682" s="18"/>
      <c r="D1682" s="18"/>
      <c r="E1682" s="19"/>
      <c r="F1682" s="19"/>
      <c r="G1682" s="20"/>
      <c r="H1682" s="3"/>
      <c r="I1682" s="19"/>
      <c r="J1682" s="19"/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</row>
    <row r="1683" spans="1:34" ht="15.75" customHeight="1" x14ac:dyDescent="0.25">
      <c r="A1683" s="3"/>
      <c r="B1683" s="3"/>
      <c r="C1683" s="18"/>
      <c r="D1683" s="18"/>
      <c r="E1683" s="19"/>
      <c r="F1683" s="19"/>
      <c r="G1683" s="20"/>
      <c r="H1683" s="3"/>
      <c r="I1683" s="19"/>
      <c r="J1683" s="19"/>
      <c r="K1683" s="19"/>
      <c r="L1683" s="19"/>
      <c r="M1683" s="19"/>
      <c r="N1683" s="19"/>
      <c r="O1683" s="19"/>
      <c r="P1683" s="19"/>
      <c r="Q1683" s="19"/>
      <c r="R1683" s="19"/>
      <c r="S1683" s="19"/>
      <c r="T1683" s="19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</row>
    <row r="1684" spans="1:34" ht="15.75" customHeight="1" x14ac:dyDescent="0.25">
      <c r="A1684" s="3"/>
      <c r="B1684" s="3"/>
      <c r="C1684" s="18"/>
      <c r="D1684" s="18"/>
      <c r="E1684" s="19"/>
      <c r="F1684" s="19"/>
      <c r="G1684" s="20"/>
      <c r="H1684" s="3"/>
      <c r="I1684" s="19"/>
      <c r="J1684" s="19"/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</row>
    <row r="1685" spans="1:34" ht="15.75" customHeight="1" x14ac:dyDescent="0.25">
      <c r="A1685" s="3"/>
      <c r="B1685" s="3"/>
      <c r="C1685" s="18"/>
      <c r="D1685" s="18"/>
      <c r="E1685" s="19"/>
      <c r="F1685" s="19"/>
      <c r="G1685" s="20"/>
      <c r="H1685" s="3"/>
      <c r="I1685" s="19"/>
      <c r="J1685" s="19"/>
      <c r="K1685" s="19"/>
      <c r="L1685" s="19"/>
      <c r="M1685" s="19"/>
      <c r="N1685" s="19"/>
      <c r="O1685" s="19"/>
      <c r="P1685" s="19"/>
      <c r="Q1685" s="19"/>
      <c r="R1685" s="19"/>
      <c r="S1685" s="19"/>
      <c r="T1685" s="19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</row>
    <row r="1686" spans="1:34" ht="15.75" customHeight="1" x14ac:dyDescent="0.25">
      <c r="A1686" s="3"/>
      <c r="B1686" s="3"/>
      <c r="C1686" s="18"/>
      <c r="D1686" s="18"/>
      <c r="E1686" s="19"/>
      <c r="F1686" s="19"/>
      <c r="G1686" s="20"/>
      <c r="H1686" s="3"/>
      <c r="I1686" s="19"/>
      <c r="J1686" s="19"/>
      <c r="K1686" s="19"/>
      <c r="L1686" s="19"/>
      <c r="M1686" s="19"/>
      <c r="N1686" s="19"/>
      <c r="O1686" s="19"/>
      <c r="P1686" s="19"/>
      <c r="Q1686" s="19"/>
      <c r="R1686" s="19"/>
      <c r="S1686" s="19"/>
      <c r="T1686" s="19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</row>
    <row r="1687" spans="1:34" ht="15.75" customHeight="1" x14ac:dyDescent="0.25">
      <c r="A1687" s="3"/>
      <c r="B1687" s="3"/>
      <c r="C1687" s="18"/>
      <c r="D1687" s="18"/>
      <c r="E1687" s="19"/>
      <c r="F1687" s="19"/>
      <c r="G1687" s="20"/>
      <c r="H1687" s="3"/>
      <c r="I1687" s="19"/>
      <c r="J1687" s="19"/>
      <c r="K1687" s="19"/>
      <c r="L1687" s="19"/>
      <c r="M1687" s="19"/>
      <c r="N1687" s="19"/>
      <c r="O1687" s="19"/>
      <c r="P1687" s="19"/>
      <c r="Q1687" s="19"/>
      <c r="R1687" s="19"/>
      <c r="S1687" s="19"/>
      <c r="T1687" s="19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</row>
    <row r="1688" spans="1:34" ht="15.75" customHeight="1" x14ac:dyDescent="0.25">
      <c r="A1688" s="3"/>
      <c r="B1688" s="3"/>
      <c r="C1688" s="18"/>
      <c r="D1688" s="18"/>
      <c r="E1688" s="19"/>
      <c r="F1688" s="19"/>
      <c r="G1688" s="20"/>
      <c r="H1688" s="3"/>
      <c r="I1688" s="19"/>
      <c r="J1688" s="19"/>
      <c r="K1688" s="19"/>
      <c r="L1688" s="19"/>
      <c r="M1688" s="19"/>
      <c r="N1688" s="19"/>
      <c r="O1688" s="19"/>
      <c r="P1688" s="19"/>
      <c r="Q1688" s="19"/>
      <c r="R1688" s="19"/>
      <c r="S1688" s="19"/>
      <c r="T1688" s="19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</row>
    <row r="1689" spans="1:34" ht="15.75" customHeight="1" x14ac:dyDescent="0.25">
      <c r="A1689" s="3"/>
      <c r="B1689" s="3"/>
      <c r="C1689" s="18"/>
      <c r="D1689" s="18"/>
      <c r="E1689" s="19"/>
      <c r="F1689" s="19"/>
      <c r="G1689" s="20"/>
      <c r="H1689" s="3"/>
      <c r="I1689" s="19"/>
      <c r="J1689" s="19"/>
      <c r="K1689" s="19"/>
      <c r="L1689" s="19"/>
      <c r="M1689" s="19"/>
      <c r="N1689" s="19"/>
      <c r="O1689" s="19"/>
      <c r="P1689" s="19"/>
      <c r="Q1689" s="19"/>
      <c r="R1689" s="19"/>
      <c r="S1689" s="19"/>
      <c r="T1689" s="19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</row>
    <row r="1690" spans="1:34" ht="15.75" customHeight="1" x14ac:dyDescent="0.25">
      <c r="A1690" s="3"/>
      <c r="B1690" s="3"/>
      <c r="C1690" s="18"/>
      <c r="D1690" s="18"/>
      <c r="E1690" s="19"/>
      <c r="F1690" s="19"/>
      <c r="G1690" s="20"/>
      <c r="H1690" s="3"/>
      <c r="I1690" s="19"/>
      <c r="J1690" s="19"/>
      <c r="K1690" s="19"/>
      <c r="L1690" s="19"/>
      <c r="M1690" s="19"/>
      <c r="N1690" s="19"/>
      <c r="O1690" s="19"/>
      <c r="P1690" s="19"/>
      <c r="Q1690" s="19"/>
      <c r="R1690" s="19"/>
      <c r="S1690" s="19"/>
      <c r="T1690" s="19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</row>
    <row r="1691" spans="1:34" ht="15.75" customHeight="1" x14ac:dyDescent="0.25">
      <c r="A1691" s="3"/>
      <c r="B1691" s="3"/>
      <c r="C1691" s="18"/>
      <c r="D1691" s="18"/>
      <c r="E1691" s="19"/>
      <c r="F1691" s="19"/>
      <c r="G1691" s="20"/>
      <c r="H1691" s="3"/>
      <c r="I1691" s="19"/>
      <c r="J1691" s="19"/>
      <c r="K1691" s="19"/>
      <c r="L1691" s="19"/>
      <c r="M1691" s="19"/>
      <c r="N1691" s="19"/>
      <c r="O1691" s="19"/>
      <c r="P1691" s="19"/>
      <c r="Q1691" s="19"/>
      <c r="R1691" s="19"/>
      <c r="S1691" s="19"/>
      <c r="T1691" s="19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</row>
    <row r="1692" spans="1:34" ht="15.75" customHeight="1" x14ac:dyDescent="0.25">
      <c r="A1692" s="3"/>
      <c r="B1692" s="3"/>
      <c r="C1692" s="18"/>
      <c r="D1692" s="18"/>
      <c r="E1692" s="19"/>
      <c r="F1692" s="19"/>
      <c r="G1692" s="20"/>
      <c r="H1692" s="3"/>
      <c r="I1692" s="19"/>
      <c r="J1692" s="19"/>
      <c r="K1692" s="19"/>
      <c r="L1692" s="19"/>
      <c r="M1692" s="19"/>
      <c r="N1692" s="19"/>
      <c r="O1692" s="19"/>
      <c r="P1692" s="19"/>
      <c r="Q1692" s="19"/>
      <c r="R1692" s="19"/>
      <c r="S1692" s="19"/>
      <c r="T1692" s="19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</row>
    <row r="1693" spans="1:34" ht="15.75" customHeight="1" x14ac:dyDescent="0.25">
      <c r="A1693" s="3"/>
      <c r="B1693" s="3"/>
      <c r="C1693" s="18"/>
      <c r="D1693" s="18"/>
      <c r="E1693" s="19"/>
      <c r="F1693" s="19"/>
      <c r="G1693" s="20"/>
      <c r="H1693" s="3"/>
      <c r="I1693" s="19"/>
      <c r="J1693" s="19"/>
      <c r="K1693" s="19"/>
      <c r="L1693" s="19"/>
      <c r="M1693" s="19"/>
      <c r="N1693" s="19"/>
      <c r="O1693" s="19"/>
      <c r="P1693" s="19"/>
      <c r="Q1693" s="19"/>
      <c r="R1693" s="19"/>
      <c r="S1693" s="19"/>
      <c r="T1693" s="19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</row>
    <row r="1694" spans="1:34" ht="15.75" customHeight="1" x14ac:dyDescent="0.25">
      <c r="A1694" s="3"/>
      <c r="B1694" s="3"/>
      <c r="C1694" s="18"/>
      <c r="D1694" s="18"/>
      <c r="E1694" s="19"/>
      <c r="F1694" s="19"/>
      <c r="G1694" s="20"/>
      <c r="H1694" s="3"/>
      <c r="I1694" s="19"/>
      <c r="J1694" s="19"/>
      <c r="K1694" s="19"/>
      <c r="L1694" s="19"/>
      <c r="M1694" s="19"/>
      <c r="N1694" s="19"/>
      <c r="O1694" s="19"/>
      <c r="P1694" s="19"/>
      <c r="Q1694" s="19"/>
      <c r="R1694" s="19"/>
      <c r="S1694" s="19"/>
      <c r="T1694" s="19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</row>
    <row r="1695" spans="1:34" ht="15.75" customHeight="1" x14ac:dyDescent="0.25">
      <c r="A1695" s="3"/>
      <c r="B1695" s="3"/>
      <c r="C1695" s="18"/>
      <c r="D1695" s="18"/>
      <c r="E1695" s="19"/>
      <c r="F1695" s="19"/>
      <c r="G1695" s="20"/>
      <c r="H1695" s="3"/>
      <c r="I1695" s="19"/>
      <c r="J1695" s="19"/>
      <c r="K1695" s="19"/>
      <c r="L1695" s="19"/>
      <c r="M1695" s="19"/>
      <c r="N1695" s="19"/>
      <c r="O1695" s="19"/>
      <c r="P1695" s="19"/>
      <c r="Q1695" s="19"/>
      <c r="R1695" s="19"/>
      <c r="S1695" s="19"/>
      <c r="T1695" s="19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</row>
    <row r="1696" spans="1:34" ht="15.75" customHeight="1" x14ac:dyDescent="0.25">
      <c r="A1696" s="3"/>
      <c r="B1696" s="3"/>
      <c r="C1696" s="18"/>
      <c r="D1696" s="18"/>
      <c r="E1696" s="19"/>
      <c r="F1696" s="19"/>
      <c r="G1696" s="20"/>
      <c r="H1696" s="3"/>
      <c r="I1696" s="19"/>
      <c r="J1696" s="19"/>
      <c r="K1696" s="19"/>
      <c r="L1696" s="19"/>
      <c r="M1696" s="19"/>
      <c r="N1696" s="19"/>
      <c r="O1696" s="19"/>
      <c r="P1696" s="19"/>
      <c r="Q1696" s="19"/>
      <c r="R1696" s="19"/>
      <c r="S1696" s="19"/>
      <c r="T1696" s="19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</row>
    <row r="1697" spans="1:34" ht="15.75" customHeight="1" x14ac:dyDescent="0.25">
      <c r="A1697" s="3"/>
      <c r="B1697" s="3"/>
      <c r="C1697" s="18"/>
      <c r="D1697" s="18"/>
      <c r="E1697" s="19"/>
      <c r="F1697" s="19"/>
      <c r="G1697" s="20"/>
      <c r="H1697" s="3"/>
      <c r="I1697" s="19"/>
      <c r="J1697" s="19"/>
      <c r="K1697" s="19"/>
      <c r="L1697" s="19"/>
      <c r="M1697" s="19"/>
      <c r="N1697" s="19"/>
      <c r="O1697" s="19"/>
      <c r="P1697" s="19"/>
      <c r="Q1697" s="19"/>
      <c r="R1697" s="19"/>
      <c r="S1697" s="19"/>
      <c r="T1697" s="19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</row>
    <row r="1698" spans="1:34" ht="15.75" customHeight="1" x14ac:dyDescent="0.25">
      <c r="A1698" s="3"/>
      <c r="B1698" s="3"/>
      <c r="C1698" s="18"/>
      <c r="D1698" s="18"/>
      <c r="E1698" s="19"/>
      <c r="F1698" s="19"/>
      <c r="G1698" s="20"/>
      <c r="H1698" s="3"/>
      <c r="I1698" s="19"/>
      <c r="J1698" s="19"/>
      <c r="K1698" s="19"/>
      <c r="L1698" s="19"/>
      <c r="M1698" s="19"/>
      <c r="N1698" s="19"/>
      <c r="O1698" s="19"/>
      <c r="P1698" s="19"/>
      <c r="Q1698" s="19"/>
      <c r="R1698" s="19"/>
      <c r="S1698" s="19"/>
      <c r="T1698" s="19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</row>
    <row r="1699" spans="1:34" ht="15.75" customHeight="1" x14ac:dyDescent="0.25">
      <c r="A1699" s="3"/>
      <c r="B1699" s="3"/>
      <c r="C1699" s="18"/>
      <c r="D1699" s="18"/>
      <c r="E1699" s="19"/>
      <c r="F1699" s="19"/>
      <c r="G1699" s="20"/>
      <c r="H1699" s="3"/>
      <c r="I1699" s="19"/>
      <c r="J1699" s="19"/>
      <c r="K1699" s="19"/>
      <c r="L1699" s="19"/>
      <c r="M1699" s="19"/>
      <c r="N1699" s="19"/>
      <c r="O1699" s="19"/>
      <c r="P1699" s="19"/>
      <c r="Q1699" s="19"/>
      <c r="R1699" s="19"/>
      <c r="S1699" s="19"/>
      <c r="T1699" s="19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</row>
    <row r="1700" spans="1:34" ht="15.75" customHeight="1" x14ac:dyDescent="0.25">
      <c r="A1700" s="3"/>
      <c r="B1700" s="3"/>
      <c r="C1700" s="18"/>
      <c r="D1700" s="18"/>
      <c r="E1700" s="19"/>
      <c r="F1700" s="19"/>
      <c r="G1700" s="20"/>
      <c r="H1700" s="3"/>
      <c r="I1700" s="19"/>
      <c r="J1700" s="19"/>
      <c r="K1700" s="19"/>
      <c r="L1700" s="19"/>
      <c r="M1700" s="19"/>
      <c r="N1700" s="19"/>
      <c r="O1700" s="19"/>
      <c r="P1700" s="19"/>
      <c r="Q1700" s="19"/>
      <c r="R1700" s="19"/>
      <c r="S1700" s="19"/>
      <c r="T1700" s="19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</row>
    <row r="1701" spans="1:34" ht="15.75" customHeight="1" x14ac:dyDescent="0.25">
      <c r="A1701" s="3"/>
      <c r="B1701" s="3"/>
      <c r="C1701" s="18"/>
      <c r="D1701" s="18"/>
      <c r="E1701" s="19"/>
      <c r="F1701" s="19"/>
      <c r="G1701" s="20"/>
      <c r="H1701" s="3"/>
      <c r="I1701" s="19"/>
      <c r="J1701" s="19"/>
      <c r="K1701" s="19"/>
      <c r="L1701" s="19"/>
      <c r="M1701" s="19"/>
      <c r="N1701" s="19"/>
      <c r="O1701" s="19"/>
      <c r="P1701" s="19"/>
      <c r="Q1701" s="19"/>
      <c r="R1701" s="19"/>
      <c r="S1701" s="19"/>
      <c r="T1701" s="19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</row>
    <row r="1702" spans="1:34" ht="15.75" customHeight="1" x14ac:dyDescent="0.25">
      <c r="A1702" s="3"/>
      <c r="B1702" s="3"/>
      <c r="C1702" s="18"/>
      <c r="D1702" s="18"/>
      <c r="E1702" s="19"/>
      <c r="F1702" s="19"/>
      <c r="G1702" s="20"/>
      <c r="H1702" s="3"/>
      <c r="I1702" s="19"/>
      <c r="J1702" s="19"/>
      <c r="K1702" s="19"/>
      <c r="L1702" s="19"/>
      <c r="M1702" s="19"/>
      <c r="N1702" s="19"/>
      <c r="O1702" s="19"/>
      <c r="P1702" s="19"/>
      <c r="Q1702" s="19"/>
      <c r="R1702" s="19"/>
      <c r="S1702" s="19"/>
      <c r="T1702" s="19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</row>
    <row r="1703" spans="1:34" ht="15.75" customHeight="1" x14ac:dyDescent="0.25">
      <c r="A1703" s="3"/>
      <c r="B1703" s="3"/>
      <c r="C1703" s="18"/>
      <c r="D1703" s="18"/>
      <c r="E1703" s="19"/>
      <c r="F1703" s="19"/>
      <c r="G1703" s="20"/>
      <c r="H1703" s="3"/>
      <c r="I1703" s="19"/>
      <c r="J1703" s="19"/>
      <c r="K1703" s="19"/>
      <c r="L1703" s="19"/>
      <c r="M1703" s="19"/>
      <c r="N1703" s="19"/>
      <c r="O1703" s="19"/>
      <c r="P1703" s="19"/>
      <c r="Q1703" s="19"/>
      <c r="R1703" s="19"/>
      <c r="S1703" s="19"/>
      <c r="T1703" s="19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</row>
    <row r="1704" spans="1:34" ht="15.75" customHeight="1" x14ac:dyDescent="0.25">
      <c r="A1704" s="3"/>
      <c r="B1704" s="3"/>
      <c r="C1704" s="18"/>
      <c r="D1704" s="18"/>
      <c r="E1704" s="19"/>
      <c r="F1704" s="19"/>
      <c r="G1704" s="20"/>
      <c r="H1704" s="3"/>
      <c r="I1704" s="19"/>
      <c r="J1704" s="19"/>
      <c r="K1704" s="19"/>
      <c r="L1704" s="19"/>
      <c r="M1704" s="19"/>
      <c r="N1704" s="19"/>
      <c r="O1704" s="19"/>
      <c r="P1704" s="19"/>
      <c r="Q1704" s="19"/>
      <c r="R1704" s="19"/>
      <c r="S1704" s="19"/>
      <c r="T1704" s="19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</row>
    <row r="1705" spans="1:34" ht="15.75" customHeight="1" x14ac:dyDescent="0.25">
      <c r="A1705" s="3"/>
      <c r="B1705" s="3"/>
      <c r="C1705" s="18"/>
      <c r="D1705" s="18"/>
      <c r="E1705" s="19"/>
      <c r="F1705" s="19"/>
      <c r="G1705" s="20"/>
      <c r="H1705" s="3"/>
      <c r="I1705" s="19"/>
      <c r="J1705" s="19"/>
      <c r="K1705" s="19"/>
      <c r="L1705" s="19"/>
      <c r="M1705" s="19"/>
      <c r="N1705" s="19"/>
      <c r="O1705" s="19"/>
      <c r="P1705" s="19"/>
      <c r="Q1705" s="19"/>
      <c r="R1705" s="19"/>
      <c r="S1705" s="19"/>
      <c r="T1705" s="19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</row>
    <row r="1706" spans="1:34" ht="15.75" customHeight="1" x14ac:dyDescent="0.25">
      <c r="A1706" s="3"/>
      <c r="B1706" s="3"/>
      <c r="C1706" s="18"/>
      <c r="D1706" s="18"/>
      <c r="E1706" s="19"/>
      <c r="F1706" s="19"/>
      <c r="G1706" s="20"/>
      <c r="H1706" s="3"/>
      <c r="I1706" s="19"/>
      <c r="J1706" s="19"/>
      <c r="K1706" s="19"/>
      <c r="L1706" s="19"/>
      <c r="M1706" s="19"/>
      <c r="N1706" s="19"/>
      <c r="O1706" s="19"/>
      <c r="P1706" s="19"/>
      <c r="Q1706" s="19"/>
      <c r="R1706" s="19"/>
      <c r="S1706" s="19"/>
      <c r="T1706" s="19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</row>
    <row r="1707" spans="1:34" ht="15.75" customHeight="1" x14ac:dyDescent="0.25">
      <c r="A1707" s="3"/>
      <c r="B1707" s="3"/>
      <c r="C1707" s="18"/>
      <c r="D1707" s="18"/>
      <c r="E1707" s="19"/>
      <c r="F1707" s="19"/>
      <c r="G1707" s="20"/>
      <c r="H1707" s="3"/>
      <c r="I1707" s="19"/>
      <c r="J1707" s="19"/>
      <c r="K1707" s="19"/>
      <c r="L1707" s="19"/>
      <c r="M1707" s="19"/>
      <c r="N1707" s="19"/>
      <c r="O1707" s="19"/>
      <c r="P1707" s="19"/>
      <c r="Q1707" s="19"/>
      <c r="R1707" s="19"/>
      <c r="S1707" s="19"/>
      <c r="T1707" s="19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</row>
    <row r="1708" spans="1:34" ht="15.75" customHeight="1" x14ac:dyDescent="0.25">
      <c r="A1708" s="3"/>
      <c r="B1708" s="3"/>
      <c r="C1708" s="18"/>
      <c r="D1708" s="18"/>
      <c r="E1708" s="19"/>
      <c r="F1708" s="19"/>
      <c r="G1708" s="20"/>
      <c r="H1708" s="3"/>
      <c r="I1708" s="19"/>
      <c r="J1708" s="19"/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</row>
    <row r="1709" spans="1:34" ht="15.75" customHeight="1" x14ac:dyDescent="0.25">
      <c r="A1709" s="3"/>
      <c r="B1709" s="3"/>
      <c r="C1709" s="18"/>
      <c r="D1709" s="18"/>
      <c r="E1709" s="19"/>
      <c r="F1709" s="19"/>
      <c r="G1709" s="20"/>
      <c r="H1709" s="3"/>
      <c r="I1709" s="19"/>
      <c r="J1709" s="19"/>
      <c r="K1709" s="19"/>
      <c r="L1709" s="19"/>
      <c r="M1709" s="19"/>
      <c r="N1709" s="19"/>
      <c r="O1709" s="19"/>
      <c r="P1709" s="19"/>
      <c r="Q1709" s="19"/>
      <c r="R1709" s="19"/>
      <c r="S1709" s="19"/>
      <c r="T1709" s="19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</row>
    <row r="1710" spans="1:34" ht="15.75" customHeight="1" x14ac:dyDescent="0.25">
      <c r="A1710" s="3"/>
      <c r="B1710" s="3"/>
      <c r="C1710" s="18"/>
      <c r="D1710" s="18"/>
      <c r="E1710" s="19"/>
      <c r="F1710" s="19"/>
      <c r="G1710" s="20"/>
      <c r="H1710" s="3"/>
      <c r="I1710" s="19"/>
      <c r="J1710" s="19"/>
      <c r="K1710" s="19"/>
      <c r="L1710" s="19"/>
      <c r="M1710" s="19"/>
      <c r="N1710" s="19"/>
      <c r="O1710" s="19"/>
      <c r="P1710" s="19"/>
      <c r="Q1710" s="19"/>
      <c r="R1710" s="19"/>
      <c r="S1710" s="19"/>
      <c r="T1710" s="19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</row>
    <row r="1711" spans="1:34" ht="15.75" customHeight="1" x14ac:dyDescent="0.25">
      <c r="A1711" s="3"/>
      <c r="B1711" s="3"/>
      <c r="C1711" s="18"/>
      <c r="D1711" s="18"/>
      <c r="E1711" s="19"/>
      <c r="F1711" s="19"/>
      <c r="G1711" s="20"/>
      <c r="H1711" s="3"/>
      <c r="I1711" s="19"/>
      <c r="J1711" s="19"/>
      <c r="K1711" s="19"/>
      <c r="L1711" s="19"/>
      <c r="M1711" s="19"/>
      <c r="N1711" s="19"/>
      <c r="O1711" s="19"/>
      <c r="P1711" s="19"/>
      <c r="Q1711" s="19"/>
      <c r="R1711" s="19"/>
      <c r="S1711" s="19"/>
      <c r="T1711" s="19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</row>
    <row r="1712" spans="1:34" ht="15.75" customHeight="1" x14ac:dyDescent="0.25">
      <c r="A1712" s="3"/>
      <c r="B1712" s="3"/>
      <c r="C1712" s="18"/>
      <c r="D1712" s="18"/>
      <c r="E1712" s="19"/>
      <c r="F1712" s="19"/>
      <c r="G1712" s="20"/>
      <c r="H1712" s="3"/>
      <c r="I1712" s="19"/>
      <c r="J1712" s="19"/>
      <c r="K1712" s="19"/>
      <c r="L1712" s="19"/>
      <c r="M1712" s="19"/>
      <c r="N1712" s="19"/>
      <c r="O1712" s="19"/>
      <c r="P1712" s="19"/>
      <c r="Q1712" s="19"/>
      <c r="R1712" s="19"/>
      <c r="S1712" s="19"/>
      <c r="T1712" s="19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</row>
    <row r="1713" spans="1:34" ht="15.75" customHeight="1" x14ac:dyDescent="0.25">
      <c r="A1713" s="3"/>
      <c r="B1713" s="3"/>
      <c r="C1713" s="18"/>
      <c r="D1713" s="18"/>
      <c r="E1713" s="19"/>
      <c r="F1713" s="19"/>
      <c r="G1713" s="20"/>
      <c r="H1713" s="3"/>
      <c r="I1713" s="19"/>
      <c r="J1713" s="19"/>
      <c r="K1713" s="19"/>
      <c r="L1713" s="19"/>
      <c r="M1713" s="19"/>
      <c r="N1713" s="19"/>
      <c r="O1713" s="19"/>
      <c r="P1713" s="19"/>
      <c r="Q1713" s="19"/>
      <c r="R1713" s="19"/>
      <c r="S1713" s="19"/>
      <c r="T1713" s="19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</row>
    <row r="1714" spans="1:34" ht="15.75" customHeight="1" x14ac:dyDescent="0.25">
      <c r="A1714" s="3"/>
      <c r="B1714" s="3"/>
      <c r="C1714" s="18"/>
      <c r="D1714" s="18"/>
      <c r="E1714" s="19"/>
      <c r="F1714" s="19"/>
      <c r="G1714" s="20"/>
      <c r="H1714" s="3"/>
      <c r="I1714" s="19"/>
      <c r="J1714" s="19"/>
      <c r="K1714" s="19"/>
      <c r="L1714" s="19"/>
      <c r="M1714" s="19"/>
      <c r="N1714" s="19"/>
      <c r="O1714" s="19"/>
      <c r="P1714" s="19"/>
      <c r="Q1714" s="19"/>
      <c r="R1714" s="19"/>
      <c r="S1714" s="19"/>
      <c r="T1714" s="19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</row>
    <row r="1715" spans="1:34" ht="15.75" customHeight="1" x14ac:dyDescent="0.25">
      <c r="A1715" s="3"/>
      <c r="B1715" s="3"/>
      <c r="C1715" s="18"/>
      <c r="D1715" s="18"/>
      <c r="E1715" s="19"/>
      <c r="F1715" s="19"/>
      <c r="G1715" s="20"/>
      <c r="H1715" s="3"/>
      <c r="I1715" s="19"/>
      <c r="J1715" s="19"/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</row>
    <row r="1716" spans="1:34" ht="15.75" customHeight="1" x14ac:dyDescent="0.25">
      <c r="A1716" s="3"/>
      <c r="B1716" s="3"/>
      <c r="C1716" s="18"/>
      <c r="D1716" s="18"/>
      <c r="E1716" s="19"/>
      <c r="F1716" s="19"/>
      <c r="G1716" s="20"/>
      <c r="H1716" s="3"/>
      <c r="I1716" s="19"/>
      <c r="J1716" s="19"/>
      <c r="K1716" s="19"/>
      <c r="L1716" s="19"/>
      <c r="M1716" s="19"/>
      <c r="N1716" s="19"/>
      <c r="O1716" s="19"/>
      <c r="P1716" s="19"/>
      <c r="Q1716" s="19"/>
      <c r="R1716" s="19"/>
      <c r="S1716" s="19"/>
      <c r="T1716" s="19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</row>
    <row r="1717" spans="1:34" ht="15.75" customHeight="1" x14ac:dyDescent="0.25">
      <c r="A1717" s="3"/>
      <c r="B1717" s="3"/>
      <c r="C1717" s="18"/>
      <c r="D1717" s="18"/>
      <c r="E1717" s="19"/>
      <c r="F1717" s="19"/>
      <c r="G1717" s="20"/>
      <c r="H1717" s="3"/>
      <c r="I1717" s="19"/>
      <c r="J1717" s="19"/>
      <c r="K1717" s="19"/>
      <c r="L1717" s="19"/>
      <c r="M1717" s="19"/>
      <c r="N1717" s="19"/>
      <c r="O1717" s="19"/>
      <c r="P1717" s="19"/>
      <c r="Q1717" s="19"/>
      <c r="R1717" s="19"/>
      <c r="S1717" s="19"/>
      <c r="T1717" s="19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</row>
    <row r="1718" spans="1:34" ht="15.75" customHeight="1" x14ac:dyDescent="0.25">
      <c r="A1718" s="3"/>
      <c r="B1718" s="3"/>
      <c r="C1718" s="18"/>
      <c r="D1718" s="18"/>
      <c r="E1718" s="19"/>
      <c r="F1718" s="19"/>
      <c r="G1718" s="20"/>
      <c r="H1718" s="3"/>
      <c r="I1718" s="19"/>
      <c r="J1718" s="19"/>
      <c r="K1718" s="19"/>
      <c r="L1718" s="19"/>
      <c r="M1718" s="19"/>
      <c r="N1718" s="19"/>
      <c r="O1718" s="19"/>
      <c r="P1718" s="19"/>
      <c r="Q1718" s="19"/>
      <c r="R1718" s="19"/>
      <c r="S1718" s="19"/>
      <c r="T1718" s="19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</row>
    <row r="1719" spans="1:34" ht="15.75" customHeight="1" x14ac:dyDescent="0.25">
      <c r="A1719" s="3"/>
      <c r="B1719" s="3"/>
      <c r="C1719" s="18"/>
      <c r="D1719" s="18"/>
      <c r="E1719" s="19"/>
      <c r="F1719" s="19"/>
      <c r="G1719" s="20"/>
      <c r="H1719" s="3"/>
      <c r="I1719" s="19"/>
      <c r="J1719" s="19"/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</row>
    <row r="1720" spans="1:34" ht="15.75" customHeight="1" x14ac:dyDescent="0.25">
      <c r="A1720" s="3"/>
      <c r="B1720" s="3"/>
      <c r="C1720" s="18"/>
      <c r="D1720" s="18"/>
      <c r="E1720" s="19"/>
      <c r="F1720" s="19"/>
      <c r="G1720" s="20"/>
      <c r="H1720" s="3"/>
      <c r="I1720" s="19"/>
      <c r="J1720" s="19"/>
      <c r="K1720" s="19"/>
      <c r="L1720" s="19"/>
      <c r="M1720" s="19"/>
      <c r="N1720" s="19"/>
      <c r="O1720" s="19"/>
      <c r="P1720" s="19"/>
      <c r="Q1720" s="19"/>
      <c r="R1720" s="19"/>
      <c r="S1720" s="19"/>
      <c r="T1720" s="19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</row>
    <row r="1721" spans="1:34" ht="15.75" customHeight="1" x14ac:dyDescent="0.25">
      <c r="A1721" s="3"/>
      <c r="B1721" s="3"/>
      <c r="C1721" s="18"/>
      <c r="D1721" s="18"/>
      <c r="E1721" s="19"/>
      <c r="F1721" s="19"/>
      <c r="G1721" s="20"/>
      <c r="H1721" s="3"/>
      <c r="I1721" s="19"/>
      <c r="J1721" s="19"/>
      <c r="K1721" s="19"/>
      <c r="L1721" s="19"/>
      <c r="M1721" s="19"/>
      <c r="N1721" s="19"/>
      <c r="O1721" s="19"/>
      <c r="P1721" s="19"/>
      <c r="Q1721" s="19"/>
      <c r="R1721" s="19"/>
      <c r="S1721" s="19"/>
      <c r="T1721" s="19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</row>
    <row r="1722" spans="1:34" ht="15.75" customHeight="1" x14ac:dyDescent="0.25">
      <c r="A1722" s="3"/>
      <c r="B1722" s="3"/>
      <c r="C1722" s="18"/>
      <c r="D1722" s="18"/>
      <c r="E1722" s="19"/>
      <c r="F1722" s="19"/>
      <c r="G1722" s="20"/>
      <c r="H1722" s="3"/>
      <c r="I1722" s="19"/>
      <c r="J1722" s="19"/>
      <c r="K1722" s="19"/>
      <c r="L1722" s="19"/>
      <c r="M1722" s="19"/>
      <c r="N1722" s="19"/>
      <c r="O1722" s="19"/>
      <c r="P1722" s="19"/>
      <c r="Q1722" s="19"/>
      <c r="R1722" s="19"/>
      <c r="S1722" s="19"/>
      <c r="T1722" s="19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</row>
    <row r="1723" spans="1:34" ht="15.75" customHeight="1" x14ac:dyDescent="0.25">
      <c r="A1723" s="3"/>
      <c r="B1723" s="3"/>
      <c r="C1723" s="18"/>
      <c r="D1723" s="18"/>
      <c r="E1723" s="19"/>
      <c r="F1723" s="19"/>
      <c r="G1723" s="20"/>
      <c r="H1723" s="3"/>
      <c r="I1723" s="19"/>
      <c r="J1723" s="19"/>
      <c r="K1723" s="19"/>
      <c r="L1723" s="19"/>
      <c r="M1723" s="19"/>
      <c r="N1723" s="19"/>
      <c r="O1723" s="19"/>
      <c r="P1723" s="19"/>
      <c r="Q1723" s="19"/>
      <c r="R1723" s="19"/>
      <c r="S1723" s="19"/>
      <c r="T1723" s="19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</row>
    <row r="1724" spans="1:34" ht="15.75" customHeight="1" x14ac:dyDescent="0.25">
      <c r="A1724" s="3"/>
      <c r="B1724" s="3"/>
      <c r="C1724" s="18"/>
      <c r="D1724" s="18"/>
      <c r="E1724" s="19"/>
      <c r="F1724" s="19"/>
      <c r="G1724" s="20"/>
      <c r="H1724" s="3"/>
      <c r="I1724" s="19"/>
      <c r="J1724" s="19"/>
      <c r="K1724" s="19"/>
      <c r="L1724" s="19"/>
      <c r="M1724" s="19"/>
      <c r="N1724" s="19"/>
      <c r="O1724" s="19"/>
      <c r="P1724" s="19"/>
      <c r="Q1724" s="19"/>
      <c r="R1724" s="19"/>
      <c r="S1724" s="19"/>
      <c r="T1724" s="19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</row>
    <row r="1725" spans="1:34" ht="15.75" customHeight="1" x14ac:dyDescent="0.25">
      <c r="A1725" s="3"/>
      <c r="B1725" s="3"/>
      <c r="C1725" s="18"/>
      <c r="D1725" s="18"/>
      <c r="E1725" s="19"/>
      <c r="F1725" s="19"/>
      <c r="G1725" s="20"/>
      <c r="H1725" s="3"/>
      <c r="I1725" s="19"/>
      <c r="J1725" s="19"/>
      <c r="K1725" s="19"/>
      <c r="L1725" s="19"/>
      <c r="M1725" s="19"/>
      <c r="N1725" s="19"/>
      <c r="O1725" s="19"/>
      <c r="P1725" s="19"/>
      <c r="Q1725" s="19"/>
      <c r="R1725" s="19"/>
      <c r="S1725" s="19"/>
      <c r="T1725" s="19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</row>
    <row r="1726" spans="1:34" ht="15.75" customHeight="1" x14ac:dyDescent="0.25">
      <c r="A1726" s="3"/>
      <c r="B1726" s="3"/>
      <c r="C1726" s="18"/>
      <c r="D1726" s="18"/>
      <c r="E1726" s="19"/>
      <c r="F1726" s="19"/>
      <c r="G1726" s="20"/>
      <c r="H1726" s="3"/>
      <c r="I1726" s="19"/>
      <c r="J1726" s="19"/>
      <c r="K1726" s="19"/>
      <c r="L1726" s="19"/>
      <c r="M1726" s="19"/>
      <c r="N1726" s="19"/>
      <c r="O1726" s="19"/>
      <c r="P1726" s="19"/>
      <c r="Q1726" s="19"/>
      <c r="R1726" s="19"/>
      <c r="S1726" s="19"/>
      <c r="T1726" s="19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</row>
    <row r="1727" spans="1:34" ht="15.75" customHeight="1" x14ac:dyDescent="0.25">
      <c r="A1727" s="3"/>
      <c r="B1727" s="3"/>
      <c r="C1727" s="18"/>
      <c r="D1727" s="18"/>
      <c r="E1727" s="19"/>
      <c r="F1727" s="19"/>
      <c r="G1727" s="20"/>
      <c r="H1727" s="3"/>
      <c r="I1727" s="19"/>
      <c r="J1727" s="19"/>
      <c r="K1727" s="19"/>
      <c r="L1727" s="19"/>
      <c r="M1727" s="19"/>
      <c r="N1727" s="19"/>
      <c r="O1727" s="19"/>
      <c r="P1727" s="19"/>
      <c r="Q1727" s="19"/>
      <c r="R1727" s="19"/>
      <c r="S1727" s="19"/>
      <c r="T1727" s="19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</row>
    <row r="1728" spans="1:34" ht="15.75" customHeight="1" x14ac:dyDescent="0.25">
      <c r="A1728" s="3"/>
      <c r="B1728" s="3"/>
      <c r="C1728" s="18"/>
      <c r="D1728" s="18"/>
      <c r="E1728" s="19"/>
      <c r="F1728" s="19"/>
      <c r="G1728" s="20"/>
      <c r="H1728" s="3"/>
      <c r="I1728" s="19"/>
      <c r="J1728" s="19"/>
      <c r="K1728" s="19"/>
      <c r="L1728" s="19"/>
      <c r="M1728" s="19"/>
      <c r="N1728" s="19"/>
      <c r="O1728" s="19"/>
      <c r="P1728" s="19"/>
      <c r="Q1728" s="19"/>
      <c r="R1728" s="19"/>
      <c r="S1728" s="19"/>
      <c r="T1728" s="19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</row>
    <row r="1729" spans="1:34" ht="15.75" customHeight="1" x14ac:dyDescent="0.25">
      <c r="A1729" s="3"/>
      <c r="B1729" s="3"/>
      <c r="C1729" s="18"/>
      <c r="D1729" s="18"/>
      <c r="E1729" s="19"/>
      <c r="F1729" s="19"/>
      <c r="G1729" s="20"/>
      <c r="H1729" s="3"/>
      <c r="I1729" s="19"/>
      <c r="J1729" s="19"/>
      <c r="K1729" s="19"/>
      <c r="L1729" s="19"/>
      <c r="M1729" s="19"/>
      <c r="N1729" s="19"/>
      <c r="O1729" s="19"/>
      <c r="P1729" s="19"/>
      <c r="Q1729" s="19"/>
      <c r="R1729" s="19"/>
      <c r="S1729" s="19"/>
      <c r="T1729" s="19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</row>
    <row r="1730" spans="1:34" ht="15.75" customHeight="1" x14ac:dyDescent="0.25">
      <c r="A1730" s="3"/>
      <c r="B1730" s="3"/>
      <c r="C1730" s="18"/>
      <c r="D1730" s="18"/>
      <c r="E1730" s="19"/>
      <c r="F1730" s="19"/>
      <c r="G1730" s="20"/>
      <c r="H1730" s="3"/>
      <c r="I1730" s="19"/>
      <c r="J1730" s="19"/>
      <c r="K1730" s="19"/>
      <c r="L1730" s="19"/>
      <c r="M1730" s="19"/>
      <c r="N1730" s="19"/>
      <c r="O1730" s="19"/>
      <c r="P1730" s="19"/>
      <c r="Q1730" s="19"/>
      <c r="R1730" s="19"/>
      <c r="S1730" s="19"/>
      <c r="T1730" s="19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</row>
    <row r="1731" spans="1:34" ht="15.75" customHeight="1" x14ac:dyDescent="0.25">
      <c r="A1731" s="3"/>
      <c r="B1731" s="3"/>
      <c r="C1731" s="18"/>
      <c r="D1731" s="18"/>
      <c r="E1731" s="19"/>
      <c r="F1731" s="19"/>
      <c r="G1731" s="20"/>
      <c r="H1731" s="3"/>
      <c r="I1731" s="19"/>
      <c r="J1731" s="19"/>
      <c r="K1731" s="19"/>
      <c r="L1731" s="19"/>
      <c r="M1731" s="19"/>
      <c r="N1731" s="19"/>
      <c r="O1731" s="19"/>
      <c r="P1731" s="19"/>
      <c r="Q1731" s="19"/>
      <c r="R1731" s="19"/>
      <c r="S1731" s="19"/>
      <c r="T1731" s="19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</row>
    <row r="1732" spans="1:34" ht="15.75" customHeight="1" x14ac:dyDescent="0.25">
      <c r="A1732" s="3"/>
      <c r="B1732" s="3"/>
      <c r="C1732" s="18"/>
      <c r="D1732" s="18"/>
      <c r="E1732" s="19"/>
      <c r="F1732" s="19"/>
      <c r="G1732" s="20"/>
      <c r="H1732" s="3"/>
      <c r="I1732" s="19"/>
      <c r="J1732" s="19"/>
      <c r="K1732" s="19"/>
      <c r="L1732" s="19"/>
      <c r="M1732" s="19"/>
      <c r="N1732" s="19"/>
      <c r="O1732" s="19"/>
      <c r="P1732" s="19"/>
      <c r="Q1732" s="19"/>
      <c r="R1732" s="19"/>
      <c r="S1732" s="19"/>
      <c r="T1732" s="19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</row>
    <row r="1733" spans="1:34" ht="15.75" customHeight="1" x14ac:dyDescent="0.25">
      <c r="A1733" s="3"/>
      <c r="B1733" s="3"/>
      <c r="C1733" s="18"/>
      <c r="D1733" s="18"/>
      <c r="E1733" s="19"/>
      <c r="F1733" s="19"/>
      <c r="G1733" s="20"/>
      <c r="H1733" s="3"/>
      <c r="I1733" s="19"/>
      <c r="J1733" s="19"/>
      <c r="K1733" s="19"/>
      <c r="L1733" s="19"/>
      <c r="M1733" s="19"/>
      <c r="N1733" s="19"/>
      <c r="O1733" s="19"/>
      <c r="P1733" s="19"/>
      <c r="Q1733" s="19"/>
      <c r="R1733" s="19"/>
      <c r="S1733" s="19"/>
      <c r="T1733" s="19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</row>
    <row r="1734" spans="1:34" ht="15.75" customHeight="1" x14ac:dyDescent="0.25">
      <c r="A1734" s="3"/>
      <c r="B1734" s="3"/>
      <c r="C1734" s="18"/>
      <c r="D1734" s="18"/>
      <c r="E1734" s="19"/>
      <c r="F1734" s="19"/>
      <c r="G1734" s="20"/>
      <c r="H1734" s="3"/>
      <c r="I1734" s="19"/>
      <c r="J1734" s="19"/>
      <c r="K1734" s="19"/>
      <c r="L1734" s="19"/>
      <c r="M1734" s="19"/>
      <c r="N1734" s="19"/>
      <c r="O1734" s="19"/>
      <c r="P1734" s="19"/>
      <c r="Q1734" s="19"/>
      <c r="R1734" s="19"/>
      <c r="S1734" s="19"/>
      <c r="T1734" s="19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</row>
    <row r="1735" spans="1:34" ht="15.75" customHeight="1" x14ac:dyDescent="0.25">
      <c r="A1735" s="3"/>
      <c r="B1735" s="3"/>
      <c r="C1735" s="18"/>
      <c r="D1735" s="18"/>
      <c r="E1735" s="19"/>
      <c r="F1735" s="19"/>
      <c r="G1735" s="20"/>
      <c r="H1735" s="3"/>
      <c r="I1735" s="19"/>
      <c r="J1735" s="19"/>
      <c r="K1735" s="19"/>
      <c r="L1735" s="19"/>
      <c r="M1735" s="19"/>
      <c r="N1735" s="19"/>
      <c r="O1735" s="19"/>
      <c r="P1735" s="19"/>
      <c r="Q1735" s="19"/>
      <c r="R1735" s="19"/>
      <c r="S1735" s="19"/>
      <c r="T1735" s="19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</row>
    <row r="1736" spans="1:34" ht="15.75" customHeight="1" x14ac:dyDescent="0.25">
      <c r="A1736" s="3"/>
      <c r="B1736" s="3"/>
      <c r="C1736" s="18"/>
      <c r="D1736" s="18"/>
      <c r="E1736" s="19"/>
      <c r="F1736" s="19"/>
      <c r="G1736" s="20"/>
      <c r="H1736" s="3"/>
      <c r="I1736" s="19"/>
      <c r="J1736" s="19"/>
      <c r="K1736" s="19"/>
      <c r="L1736" s="19"/>
      <c r="M1736" s="19"/>
      <c r="N1736" s="19"/>
      <c r="O1736" s="19"/>
      <c r="P1736" s="19"/>
      <c r="Q1736" s="19"/>
      <c r="R1736" s="19"/>
      <c r="S1736" s="19"/>
      <c r="T1736" s="19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</row>
    <row r="1737" spans="1:34" ht="15.75" customHeight="1" x14ac:dyDescent="0.25">
      <c r="A1737" s="3"/>
      <c r="B1737" s="3"/>
      <c r="C1737" s="18"/>
      <c r="D1737" s="18"/>
      <c r="E1737" s="19"/>
      <c r="F1737" s="19"/>
      <c r="G1737" s="20"/>
      <c r="H1737" s="3"/>
      <c r="I1737" s="19"/>
      <c r="J1737" s="19"/>
      <c r="K1737" s="19"/>
      <c r="L1737" s="19"/>
      <c r="M1737" s="19"/>
      <c r="N1737" s="19"/>
      <c r="O1737" s="19"/>
      <c r="P1737" s="19"/>
      <c r="Q1737" s="19"/>
      <c r="R1737" s="19"/>
      <c r="S1737" s="19"/>
      <c r="T1737" s="19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</row>
    <row r="1738" spans="1:34" ht="15.75" customHeight="1" x14ac:dyDescent="0.25">
      <c r="A1738" s="3"/>
      <c r="B1738" s="3"/>
      <c r="C1738" s="18"/>
      <c r="D1738" s="18"/>
      <c r="E1738" s="19"/>
      <c r="F1738" s="19"/>
      <c r="G1738" s="20"/>
      <c r="H1738" s="3"/>
      <c r="I1738" s="19"/>
      <c r="J1738" s="19"/>
      <c r="K1738" s="19"/>
      <c r="L1738" s="19"/>
      <c r="M1738" s="19"/>
      <c r="N1738" s="19"/>
      <c r="O1738" s="19"/>
      <c r="P1738" s="19"/>
      <c r="Q1738" s="19"/>
      <c r="R1738" s="19"/>
      <c r="S1738" s="19"/>
      <c r="T1738" s="19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</row>
    <row r="1739" spans="1:34" ht="15.75" customHeight="1" x14ac:dyDescent="0.25">
      <c r="A1739" s="3"/>
      <c r="B1739" s="3"/>
      <c r="C1739" s="18"/>
      <c r="D1739" s="18"/>
      <c r="E1739" s="19"/>
      <c r="F1739" s="19"/>
      <c r="G1739" s="20"/>
      <c r="H1739" s="3"/>
      <c r="I1739" s="19"/>
      <c r="J1739" s="19"/>
      <c r="K1739" s="19"/>
      <c r="L1739" s="19"/>
      <c r="M1739" s="19"/>
      <c r="N1739" s="19"/>
      <c r="O1739" s="19"/>
      <c r="P1739" s="19"/>
      <c r="Q1739" s="19"/>
      <c r="R1739" s="19"/>
      <c r="S1739" s="19"/>
      <c r="T1739" s="19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</row>
    <row r="1740" spans="1:34" ht="15.75" customHeight="1" x14ac:dyDescent="0.25">
      <c r="A1740" s="3"/>
      <c r="B1740" s="3"/>
      <c r="C1740" s="18"/>
      <c r="D1740" s="18"/>
      <c r="E1740" s="19"/>
      <c r="F1740" s="19"/>
      <c r="G1740" s="20"/>
      <c r="H1740" s="3"/>
      <c r="I1740" s="19"/>
      <c r="J1740" s="19"/>
      <c r="K1740" s="19"/>
      <c r="L1740" s="19"/>
      <c r="M1740" s="19"/>
      <c r="N1740" s="19"/>
      <c r="O1740" s="19"/>
      <c r="P1740" s="19"/>
      <c r="Q1740" s="19"/>
      <c r="R1740" s="19"/>
      <c r="S1740" s="19"/>
      <c r="T1740" s="19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</row>
    <row r="1741" spans="1:34" ht="15.75" customHeight="1" x14ac:dyDescent="0.25">
      <c r="A1741" s="3"/>
      <c r="B1741" s="3"/>
      <c r="C1741" s="18"/>
      <c r="D1741" s="18"/>
      <c r="E1741" s="19"/>
      <c r="F1741" s="19"/>
      <c r="G1741" s="20"/>
      <c r="H1741" s="3"/>
      <c r="I1741" s="19"/>
      <c r="J1741" s="19"/>
      <c r="K1741" s="19"/>
      <c r="L1741" s="19"/>
      <c r="M1741" s="19"/>
      <c r="N1741" s="19"/>
      <c r="O1741" s="19"/>
      <c r="P1741" s="19"/>
      <c r="Q1741" s="19"/>
      <c r="R1741" s="19"/>
      <c r="S1741" s="19"/>
      <c r="T1741" s="19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</row>
    <row r="1742" spans="1:34" ht="15.75" customHeight="1" x14ac:dyDescent="0.25">
      <c r="A1742" s="3"/>
      <c r="B1742" s="3"/>
      <c r="C1742" s="18"/>
      <c r="D1742" s="18"/>
      <c r="E1742" s="19"/>
      <c r="F1742" s="19"/>
      <c r="G1742" s="20"/>
      <c r="H1742" s="3"/>
      <c r="I1742" s="19"/>
      <c r="J1742" s="19"/>
      <c r="K1742" s="19"/>
      <c r="L1742" s="19"/>
      <c r="M1742" s="19"/>
      <c r="N1742" s="19"/>
      <c r="O1742" s="19"/>
      <c r="P1742" s="19"/>
      <c r="Q1742" s="19"/>
      <c r="R1742" s="19"/>
      <c r="S1742" s="19"/>
      <c r="T1742" s="19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</row>
    <row r="1743" spans="1:34" ht="15.75" customHeight="1" x14ac:dyDescent="0.25">
      <c r="A1743" s="3"/>
      <c r="B1743" s="3"/>
      <c r="C1743" s="18"/>
      <c r="D1743" s="18"/>
      <c r="E1743" s="19"/>
      <c r="F1743" s="19"/>
      <c r="G1743" s="20"/>
      <c r="H1743" s="3"/>
      <c r="I1743" s="19"/>
      <c r="J1743" s="19"/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</row>
    <row r="1744" spans="1:34" ht="15.75" customHeight="1" x14ac:dyDescent="0.25">
      <c r="A1744" s="3"/>
      <c r="B1744" s="3"/>
      <c r="C1744" s="18"/>
      <c r="D1744" s="18"/>
      <c r="E1744" s="19"/>
      <c r="F1744" s="19"/>
      <c r="G1744" s="20"/>
      <c r="H1744" s="3"/>
      <c r="I1744" s="19"/>
      <c r="J1744" s="19"/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</row>
    <row r="1745" spans="1:34" ht="15.75" customHeight="1" x14ac:dyDescent="0.25">
      <c r="A1745" s="3"/>
      <c r="B1745" s="3"/>
      <c r="C1745" s="18"/>
      <c r="D1745" s="18"/>
      <c r="E1745" s="19"/>
      <c r="F1745" s="19"/>
      <c r="G1745" s="20"/>
      <c r="H1745" s="3"/>
      <c r="I1745" s="19"/>
      <c r="J1745" s="19"/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</row>
    <row r="1746" spans="1:34" ht="15.75" customHeight="1" x14ac:dyDescent="0.25">
      <c r="A1746" s="3"/>
      <c r="B1746" s="3"/>
      <c r="C1746" s="18"/>
      <c r="D1746" s="18"/>
      <c r="E1746" s="19"/>
      <c r="F1746" s="19"/>
      <c r="G1746" s="20"/>
      <c r="H1746" s="3"/>
      <c r="I1746" s="19"/>
      <c r="J1746" s="19"/>
      <c r="K1746" s="19"/>
      <c r="L1746" s="19"/>
      <c r="M1746" s="19"/>
      <c r="N1746" s="19"/>
      <c r="O1746" s="19"/>
      <c r="P1746" s="19"/>
      <c r="Q1746" s="19"/>
      <c r="R1746" s="19"/>
      <c r="S1746" s="19"/>
      <c r="T1746" s="19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</row>
    <row r="1747" spans="1:34" ht="15.75" customHeight="1" x14ac:dyDescent="0.25">
      <c r="A1747" s="3"/>
      <c r="B1747" s="3"/>
      <c r="C1747" s="18"/>
      <c r="D1747" s="18"/>
      <c r="E1747" s="19"/>
      <c r="F1747" s="19"/>
      <c r="G1747" s="20"/>
      <c r="H1747" s="3"/>
      <c r="I1747" s="19"/>
      <c r="J1747" s="19"/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</row>
    <row r="1748" spans="1:34" ht="15.75" customHeight="1" x14ac:dyDescent="0.25">
      <c r="A1748" s="3"/>
      <c r="B1748" s="3"/>
      <c r="C1748" s="18"/>
      <c r="D1748" s="18"/>
      <c r="E1748" s="19"/>
      <c r="F1748" s="19"/>
      <c r="G1748" s="20"/>
      <c r="H1748" s="3"/>
      <c r="I1748" s="19"/>
      <c r="J1748" s="19"/>
      <c r="K1748" s="19"/>
      <c r="L1748" s="19"/>
      <c r="M1748" s="19"/>
      <c r="N1748" s="19"/>
      <c r="O1748" s="19"/>
      <c r="P1748" s="19"/>
      <c r="Q1748" s="19"/>
      <c r="R1748" s="19"/>
      <c r="S1748" s="19"/>
      <c r="T1748" s="19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</row>
    <row r="1749" spans="1:34" ht="15.75" customHeight="1" x14ac:dyDescent="0.25">
      <c r="A1749" s="3"/>
      <c r="B1749" s="3"/>
      <c r="C1749" s="18"/>
      <c r="D1749" s="18"/>
      <c r="E1749" s="19"/>
      <c r="F1749" s="19"/>
      <c r="G1749" s="20"/>
      <c r="H1749" s="3"/>
      <c r="I1749" s="19"/>
      <c r="J1749" s="19"/>
      <c r="K1749" s="19"/>
      <c r="L1749" s="19"/>
      <c r="M1749" s="19"/>
      <c r="N1749" s="19"/>
      <c r="O1749" s="19"/>
      <c r="P1749" s="19"/>
      <c r="Q1749" s="19"/>
      <c r="R1749" s="19"/>
      <c r="S1749" s="19"/>
      <c r="T1749" s="19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</row>
    <row r="1750" spans="1:34" ht="15.75" customHeight="1" x14ac:dyDescent="0.25">
      <c r="A1750" s="3"/>
      <c r="B1750" s="3"/>
      <c r="C1750" s="18"/>
      <c r="D1750" s="18"/>
      <c r="E1750" s="19"/>
      <c r="F1750" s="19"/>
      <c r="G1750" s="20"/>
      <c r="H1750" s="3"/>
      <c r="I1750" s="19"/>
      <c r="J1750" s="19"/>
      <c r="K1750" s="19"/>
      <c r="L1750" s="19"/>
      <c r="M1750" s="19"/>
      <c r="N1750" s="19"/>
      <c r="O1750" s="19"/>
      <c r="P1750" s="19"/>
      <c r="Q1750" s="19"/>
      <c r="R1750" s="19"/>
      <c r="S1750" s="19"/>
      <c r="T1750" s="19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</row>
    <row r="1751" spans="1:34" ht="15.75" customHeight="1" x14ac:dyDescent="0.25">
      <c r="A1751" s="3"/>
      <c r="B1751" s="3"/>
      <c r="C1751" s="18"/>
      <c r="D1751" s="18"/>
      <c r="E1751" s="19"/>
      <c r="F1751" s="19"/>
      <c r="G1751" s="20"/>
      <c r="H1751" s="3"/>
      <c r="I1751" s="19"/>
      <c r="J1751" s="19"/>
      <c r="K1751" s="19"/>
      <c r="L1751" s="19"/>
      <c r="M1751" s="19"/>
      <c r="N1751" s="19"/>
      <c r="O1751" s="19"/>
      <c r="P1751" s="19"/>
      <c r="Q1751" s="19"/>
      <c r="R1751" s="19"/>
      <c r="S1751" s="19"/>
      <c r="T1751" s="19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</row>
    <row r="1752" spans="1:34" ht="15.75" customHeight="1" x14ac:dyDescent="0.25">
      <c r="A1752" s="3"/>
      <c r="B1752" s="3"/>
      <c r="C1752" s="18"/>
      <c r="D1752" s="18"/>
      <c r="E1752" s="19"/>
      <c r="F1752" s="19"/>
      <c r="G1752" s="20"/>
      <c r="H1752" s="3"/>
      <c r="I1752" s="19"/>
      <c r="J1752" s="19"/>
      <c r="K1752" s="19"/>
      <c r="L1752" s="19"/>
      <c r="M1752" s="19"/>
      <c r="N1752" s="19"/>
      <c r="O1752" s="19"/>
      <c r="P1752" s="19"/>
      <c r="Q1752" s="19"/>
      <c r="R1752" s="19"/>
      <c r="S1752" s="19"/>
      <c r="T1752" s="19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</row>
    <row r="1753" spans="1:34" ht="15.75" customHeight="1" x14ac:dyDescent="0.25">
      <c r="A1753" s="3"/>
      <c r="B1753" s="3"/>
      <c r="C1753" s="18"/>
      <c r="D1753" s="18"/>
      <c r="E1753" s="19"/>
      <c r="F1753" s="19"/>
      <c r="G1753" s="20"/>
      <c r="H1753" s="3"/>
      <c r="I1753" s="19"/>
      <c r="J1753" s="19"/>
      <c r="K1753" s="19"/>
      <c r="L1753" s="19"/>
      <c r="M1753" s="19"/>
      <c r="N1753" s="19"/>
      <c r="O1753" s="19"/>
      <c r="P1753" s="19"/>
      <c r="Q1753" s="19"/>
      <c r="R1753" s="19"/>
      <c r="S1753" s="19"/>
      <c r="T1753" s="19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</row>
    <row r="1754" spans="1:34" ht="15.75" customHeight="1" x14ac:dyDescent="0.25">
      <c r="A1754" s="3"/>
      <c r="B1754" s="3"/>
      <c r="C1754" s="18"/>
      <c r="D1754" s="18"/>
      <c r="E1754" s="19"/>
      <c r="F1754" s="19"/>
      <c r="G1754" s="20"/>
      <c r="H1754" s="3"/>
      <c r="I1754" s="19"/>
      <c r="J1754" s="19"/>
      <c r="K1754" s="19"/>
      <c r="L1754" s="19"/>
      <c r="M1754" s="19"/>
      <c r="N1754" s="19"/>
      <c r="O1754" s="19"/>
      <c r="P1754" s="19"/>
      <c r="Q1754" s="19"/>
      <c r="R1754" s="19"/>
      <c r="S1754" s="19"/>
      <c r="T1754" s="19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</row>
    <row r="1755" spans="1:34" ht="15.75" customHeight="1" x14ac:dyDescent="0.25">
      <c r="A1755" s="3"/>
      <c r="B1755" s="3"/>
      <c r="C1755" s="18"/>
      <c r="D1755" s="18"/>
      <c r="E1755" s="19"/>
      <c r="F1755" s="19"/>
      <c r="G1755" s="20"/>
      <c r="H1755" s="3"/>
      <c r="I1755" s="19"/>
      <c r="J1755" s="19"/>
      <c r="K1755" s="19"/>
      <c r="L1755" s="19"/>
      <c r="M1755" s="19"/>
      <c r="N1755" s="19"/>
      <c r="O1755" s="19"/>
      <c r="P1755" s="19"/>
      <c r="Q1755" s="19"/>
      <c r="R1755" s="19"/>
      <c r="S1755" s="19"/>
      <c r="T1755" s="19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</row>
    <row r="1756" spans="1:34" ht="15.75" customHeight="1" x14ac:dyDescent="0.25">
      <c r="A1756" s="3"/>
      <c r="B1756" s="3"/>
      <c r="C1756" s="18"/>
      <c r="D1756" s="18"/>
      <c r="E1756" s="19"/>
      <c r="F1756" s="19"/>
      <c r="G1756" s="20"/>
      <c r="H1756" s="3"/>
      <c r="I1756" s="19"/>
      <c r="J1756" s="19"/>
      <c r="K1756" s="19"/>
      <c r="L1756" s="19"/>
      <c r="M1756" s="19"/>
      <c r="N1756" s="19"/>
      <c r="O1756" s="19"/>
      <c r="P1756" s="19"/>
      <c r="Q1756" s="19"/>
      <c r="R1756" s="19"/>
      <c r="S1756" s="19"/>
      <c r="T1756" s="19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</row>
    <row r="1757" spans="1:34" ht="15.75" customHeight="1" x14ac:dyDescent="0.25">
      <c r="A1757" s="3"/>
      <c r="B1757" s="3"/>
      <c r="C1757" s="18"/>
      <c r="D1757" s="18"/>
      <c r="E1757" s="19"/>
      <c r="F1757" s="19"/>
      <c r="G1757" s="20"/>
      <c r="H1757" s="3"/>
      <c r="I1757" s="19"/>
      <c r="J1757" s="19"/>
      <c r="K1757" s="19"/>
      <c r="L1757" s="19"/>
      <c r="M1757" s="19"/>
      <c r="N1757" s="19"/>
      <c r="O1757" s="19"/>
      <c r="P1757" s="19"/>
      <c r="Q1757" s="19"/>
      <c r="R1757" s="19"/>
      <c r="S1757" s="19"/>
      <c r="T1757" s="19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</row>
    <row r="1758" spans="1:34" ht="15.75" customHeight="1" x14ac:dyDescent="0.25">
      <c r="A1758" s="3"/>
      <c r="B1758" s="3"/>
      <c r="C1758" s="18"/>
      <c r="D1758" s="18"/>
      <c r="E1758" s="19"/>
      <c r="F1758" s="19"/>
      <c r="G1758" s="20"/>
      <c r="H1758" s="3"/>
      <c r="I1758" s="19"/>
      <c r="J1758" s="19"/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</row>
    <row r="1759" spans="1:34" ht="15.75" customHeight="1" x14ac:dyDescent="0.25">
      <c r="A1759" s="3"/>
      <c r="B1759" s="3"/>
      <c r="C1759" s="18"/>
      <c r="D1759" s="18"/>
      <c r="E1759" s="19"/>
      <c r="F1759" s="19"/>
      <c r="G1759" s="20"/>
      <c r="H1759" s="3"/>
      <c r="I1759" s="19"/>
      <c r="J1759" s="19"/>
      <c r="K1759" s="19"/>
      <c r="L1759" s="19"/>
      <c r="M1759" s="19"/>
      <c r="N1759" s="19"/>
      <c r="O1759" s="19"/>
      <c r="P1759" s="19"/>
      <c r="Q1759" s="19"/>
      <c r="R1759" s="19"/>
      <c r="S1759" s="19"/>
      <c r="T1759" s="19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</row>
    <row r="1760" spans="1:34" ht="15.75" customHeight="1" x14ac:dyDescent="0.25">
      <c r="A1760" s="3"/>
      <c r="B1760" s="3"/>
      <c r="C1760" s="18"/>
      <c r="D1760" s="18"/>
      <c r="E1760" s="19"/>
      <c r="F1760" s="19"/>
      <c r="G1760" s="20"/>
      <c r="H1760" s="3"/>
      <c r="I1760" s="19"/>
      <c r="J1760" s="19"/>
      <c r="K1760" s="19"/>
      <c r="L1760" s="19"/>
      <c r="M1760" s="19"/>
      <c r="N1760" s="19"/>
      <c r="O1760" s="19"/>
      <c r="P1760" s="19"/>
      <c r="Q1760" s="19"/>
      <c r="R1760" s="19"/>
      <c r="S1760" s="19"/>
      <c r="T1760" s="19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</row>
    <row r="1761" spans="1:34" ht="15.75" customHeight="1" x14ac:dyDescent="0.25">
      <c r="A1761" s="3"/>
      <c r="B1761" s="3"/>
      <c r="C1761" s="18"/>
      <c r="D1761" s="18"/>
      <c r="E1761" s="19"/>
      <c r="F1761" s="19"/>
      <c r="G1761" s="20"/>
      <c r="H1761" s="3"/>
      <c r="I1761" s="19"/>
      <c r="J1761" s="19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</row>
    <row r="1762" spans="1:34" ht="15.75" customHeight="1" x14ac:dyDescent="0.25">
      <c r="A1762" s="3"/>
      <c r="B1762" s="3"/>
      <c r="C1762" s="18"/>
      <c r="D1762" s="18"/>
      <c r="E1762" s="19"/>
      <c r="F1762" s="19"/>
      <c r="G1762" s="20"/>
      <c r="H1762" s="3"/>
      <c r="I1762" s="19"/>
      <c r="J1762" s="19"/>
      <c r="K1762" s="19"/>
      <c r="L1762" s="19"/>
      <c r="M1762" s="19"/>
      <c r="N1762" s="19"/>
      <c r="O1762" s="19"/>
      <c r="P1762" s="19"/>
      <c r="Q1762" s="19"/>
      <c r="R1762" s="19"/>
      <c r="S1762" s="19"/>
      <c r="T1762" s="19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</row>
    <row r="1763" spans="1:34" ht="15.75" customHeight="1" x14ac:dyDescent="0.25">
      <c r="A1763" s="3"/>
      <c r="B1763" s="3"/>
      <c r="C1763" s="18"/>
      <c r="D1763" s="18"/>
      <c r="E1763" s="19"/>
      <c r="F1763" s="19"/>
      <c r="G1763" s="20"/>
      <c r="H1763" s="3"/>
      <c r="I1763" s="19"/>
      <c r="J1763" s="19"/>
      <c r="K1763" s="19"/>
      <c r="L1763" s="19"/>
      <c r="M1763" s="19"/>
      <c r="N1763" s="19"/>
      <c r="O1763" s="19"/>
      <c r="P1763" s="19"/>
      <c r="Q1763" s="19"/>
      <c r="R1763" s="19"/>
      <c r="S1763" s="19"/>
      <c r="T1763" s="19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</row>
    <row r="1764" spans="1:34" ht="15.75" customHeight="1" x14ac:dyDescent="0.25">
      <c r="A1764" s="3"/>
      <c r="B1764" s="3"/>
      <c r="C1764" s="18"/>
      <c r="D1764" s="18"/>
      <c r="E1764" s="19"/>
      <c r="F1764" s="19"/>
      <c r="G1764" s="20"/>
      <c r="H1764" s="3"/>
      <c r="I1764" s="19"/>
      <c r="J1764" s="19"/>
      <c r="K1764" s="19"/>
      <c r="L1764" s="19"/>
      <c r="M1764" s="19"/>
      <c r="N1764" s="19"/>
      <c r="O1764" s="19"/>
      <c r="P1764" s="19"/>
      <c r="Q1764" s="19"/>
      <c r="R1764" s="19"/>
      <c r="S1764" s="19"/>
      <c r="T1764" s="19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</row>
    <row r="1765" spans="1:34" ht="15.75" customHeight="1" x14ac:dyDescent="0.25">
      <c r="A1765" s="3"/>
      <c r="B1765" s="3"/>
      <c r="C1765" s="18"/>
      <c r="D1765" s="18"/>
      <c r="E1765" s="19"/>
      <c r="F1765" s="19"/>
      <c r="G1765" s="20"/>
      <c r="H1765" s="3"/>
      <c r="I1765" s="19"/>
      <c r="J1765" s="19"/>
      <c r="K1765" s="19"/>
      <c r="L1765" s="19"/>
      <c r="M1765" s="19"/>
      <c r="N1765" s="19"/>
      <c r="O1765" s="19"/>
      <c r="P1765" s="19"/>
      <c r="Q1765" s="19"/>
      <c r="R1765" s="19"/>
      <c r="S1765" s="19"/>
      <c r="T1765" s="19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</row>
    <row r="1766" spans="1:34" ht="15.75" customHeight="1" x14ac:dyDescent="0.25">
      <c r="A1766" s="3"/>
      <c r="B1766" s="3"/>
      <c r="C1766" s="18"/>
      <c r="D1766" s="18"/>
      <c r="E1766" s="19"/>
      <c r="F1766" s="19"/>
      <c r="G1766" s="20"/>
      <c r="H1766" s="3"/>
      <c r="I1766" s="19"/>
      <c r="J1766" s="19"/>
      <c r="K1766" s="19"/>
      <c r="L1766" s="19"/>
      <c r="M1766" s="19"/>
      <c r="N1766" s="19"/>
      <c r="O1766" s="19"/>
      <c r="P1766" s="19"/>
      <c r="Q1766" s="19"/>
      <c r="R1766" s="19"/>
      <c r="S1766" s="19"/>
      <c r="T1766" s="19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</row>
    <row r="1767" spans="1:34" ht="15.75" customHeight="1" x14ac:dyDescent="0.25">
      <c r="A1767" s="3"/>
      <c r="B1767" s="3"/>
      <c r="C1767" s="18"/>
      <c r="D1767" s="18"/>
      <c r="E1767" s="19"/>
      <c r="F1767" s="19"/>
      <c r="G1767" s="20"/>
      <c r="H1767" s="3"/>
      <c r="I1767" s="19"/>
      <c r="J1767" s="19"/>
      <c r="K1767" s="19"/>
      <c r="L1767" s="19"/>
      <c r="M1767" s="19"/>
      <c r="N1767" s="19"/>
      <c r="O1767" s="19"/>
      <c r="P1767" s="19"/>
      <c r="Q1767" s="19"/>
      <c r="R1767" s="19"/>
      <c r="S1767" s="19"/>
      <c r="T1767" s="19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</row>
    <row r="1768" spans="1:34" ht="15.75" customHeight="1" x14ac:dyDescent="0.25">
      <c r="A1768" s="3"/>
      <c r="B1768" s="3"/>
      <c r="C1768" s="18"/>
      <c r="D1768" s="18"/>
      <c r="E1768" s="19"/>
      <c r="F1768" s="19"/>
      <c r="G1768" s="20"/>
      <c r="H1768" s="3"/>
      <c r="I1768" s="19"/>
      <c r="J1768" s="19"/>
      <c r="K1768" s="19"/>
      <c r="L1768" s="19"/>
      <c r="M1768" s="19"/>
      <c r="N1768" s="19"/>
      <c r="O1768" s="19"/>
      <c r="P1768" s="19"/>
      <c r="Q1768" s="19"/>
      <c r="R1768" s="19"/>
      <c r="S1768" s="19"/>
      <c r="T1768" s="19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</row>
    <row r="1769" spans="1:34" ht="15.75" customHeight="1" x14ac:dyDescent="0.25">
      <c r="A1769" s="3"/>
      <c r="B1769" s="3"/>
      <c r="C1769" s="18"/>
      <c r="D1769" s="18"/>
      <c r="E1769" s="19"/>
      <c r="F1769" s="19"/>
      <c r="G1769" s="20"/>
      <c r="H1769" s="3"/>
      <c r="I1769" s="19"/>
      <c r="J1769" s="19"/>
      <c r="K1769" s="19"/>
      <c r="L1769" s="19"/>
      <c r="M1769" s="19"/>
      <c r="N1769" s="19"/>
      <c r="O1769" s="19"/>
      <c r="P1769" s="19"/>
      <c r="Q1769" s="19"/>
      <c r="R1769" s="19"/>
      <c r="S1769" s="19"/>
      <c r="T1769" s="19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</row>
    <row r="1770" spans="1:34" ht="15.75" customHeight="1" x14ac:dyDescent="0.25">
      <c r="A1770" s="3"/>
      <c r="B1770" s="3"/>
      <c r="C1770" s="18"/>
      <c r="D1770" s="18"/>
      <c r="E1770" s="19"/>
      <c r="F1770" s="19"/>
      <c r="G1770" s="20"/>
      <c r="H1770" s="3"/>
      <c r="I1770" s="19"/>
      <c r="J1770" s="19"/>
      <c r="K1770" s="19"/>
      <c r="L1770" s="19"/>
      <c r="M1770" s="19"/>
      <c r="N1770" s="19"/>
      <c r="O1770" s="19"/>
      <c r="P1770" s="19"/>
      <c r="Q1770" s="19"/>
      <c r="R1770" s="19"/>
      <c r="S1770" s="19"/>
      <c r="T1770" s="19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</row>
    <row r="1771" spans="1:34" ht="15.75" customHeight="1" x14ac:dyDescent="0.25">
      <c r="A1771" s="3"/>
      <c r="B1771" s="3"/>
      <c r="C1771" s="18"/>
      <c r="D1771" s="18"/>
      <c r="E1771" s="19"/>
      <c r="F1771" s="19"/>
      <c r="G1771" s="20"/>
      <c r="H1771" s="3"/>
      <c r="I1771" s="19"/>
      <c r="J1771" s="19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</row>
    <row r="1772" spans="1:34" ht="15.75" customHeight="1" x14ac:dyDescent="0.25">
      <c r="A1772" s="3"/>
      <c r="B1772" s="3"/>
      <c r="C1772" s="18"/>
      <c r="D1772" s="18"/>
      <c r="E1772" s="19"/>
      <c r="F1772" s="19"/>
      <c r="G1772" s="20"/>
      <c r="H1772" s="3"/>
      <c r="I1772" s="19"/>
      <c r="J1772" s="19"/>
      <c r="K1772" s="19"/>
      <c r="L1772" s="19"/>
      <c r="M1772" s="19"/>
      <c r="N1772" s="19"/>
      <c r="O1772" s="19"/>
      <c r="P1772" s="19"/>
      <c r="Q1772" s="19"/>
      <c r="R1772" s="19"/>
      <c r="S1772" s="19"/>
      <c r="T1772" s="19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</row>
    <row r="1773" spans="1:34" ht="15.75" customHeight="1" x14ac:dyDescent="0.25">
      <c r="A1773" s="3"/>
      <c r="B1773" s="3"/>
      <c r="C1773" s="18"/>
      <c r="D1773" s="18"/>
      <c r="E1773" s="19"/>
      <c r="F1773" s="19"/>
      <c r="G1773" s="20"/>
      <c r="H1773" s="3"/>
      <c r="I1773" s="19"/>
      <c r="J1773" s="19"/>
      <c r="K1773" s="19"/>
      <c r="L1773" s="19"/>
      <c r="M1773" s="19"/>
      <c r="N1773" s="19"/>
      <c r="O1773" s="19"/>
      <c r="P1773" s="19"/>
      <c r="Q1773" s="19"/>
      <c r="R1773" s="19"/>
      <c r="S1773" s="19"/>
      <c r="T1773" s="19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</row>
    <row r="1774" spans="1:34" ht="15.75" customHeight="1" x14ac:dyDescent="0.25">
      <c r="A1774" s="3"/>
      <c r="B1774" s="3"/>
      <c r="C1774" s="18"/>
      <c r="D1774" s="18"/>
      <c r="E1774" s="19"/>
      <c r="F1774" s="19"/>
      <c r="G1774" s="20"/>
      <c r="H1774" s="3"/>
      <c r="I1774" s="19"/>
      <c r="J1774" s="19"/>
      <c r="K1774" s="19"/>
      <c r="L1774" s="19"/>
      <c r="M1774" s="19"/>
      <c r="N1774" s="19"/>
      <c r="O1774" s="19"/>
      <c r="P1774" s="19"/>
      <c r="Q1774" s="19"/>
      <c r="R1774" s="19"/>
      <c r="S1774" s="19"/>
      <c r="T1774" s="19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</row>
    <row r="1775" spans="1:34" ht="15.75" customHeight="1" x14ac:dyDescent="0.25">
      <c r="A1775" s="3"/>
      <c r="B1775" s="3"/>
      <c r="C1775" s="18"/>
      <c r="D1775" s="18"/>
      <c r="E1775" s="19"/>
      <c r="F1775" s="19"/>
      <c r="G1775" s="20"/>
      <c r="H1775" s="3"/>
      <c r="I1775" s="19"/>
      <c r="J1775" s="19"/>
      <c r="K1775" s="19"/>
      <c r="L1775" s="19"/>
      <c r="M1775" s="19"/>
      <c r="N1775" s="19"/>
      <c r="O1775" s="19"/>
      <c r="P1775" s="19"/>
      <c r="Q1775" s="19"/>
      <c r="R1775" s="19"/>
      <c r="S1775" s="19"/>
      <c r="T1775" s="19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</row>
    <row r="1776" spans="1:34" ht="15.75" customHeight="1" x14ac:dyDescent="0.25">
      <c r="A1776" s="3"/>
      <c r="B1776" s="3"/>
      <c r="C1776" s="18"/>
      <c r="D1776" s="18"/>
      <c r="E1776" s="19"/>
      <c r="F1776" s="19"/>
      <c r="G1776" s="20"/>
      <c r="H1776" s="3"/>
      <c r="I1776" s="19"/>
      <c r="J1776" s="19"/>
      <c r="K1776" s="19"/>
      <c r="L1776" s="19"/>
      <c r="M1776" s="19"/>
      <c r="N1776" s="19"/>
      <c r="O1776" s="19"/>
      <c r="P1776" s="19"/>
      <c r="Q1776" s="19"/>
      <c r="R1776" s="19"/>
      <c r="S1776" s="19"/>
      <c r="T1776" s="19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</row>
    <row r="1777" spans="1:34" ht="15.75" customHeight="1" x14ac:dyDescent="0.25">
      <c r="A1777" s="3"/>
      <c r="B1777" s="3"/>
      <c r="C1777" s="18"/>
      <c r="D1777" s="18"/>
      <c r="E1777" s="19"/>
      <c r="F1777" s="19"/>
      <c r="G1777" s="20"/>
      <c r="H1777" s="3"/>
      <c r="I1777" s="19"/>
      <c r="J1777" s="19"/>
      <c r="K1777" s="19"/>
      <c r="L1777" s="19"/>
      <c r="M1777" s="19"/>
      <c r="N1777" s="19"/>
      <c r="O1777" s="19"/>
      <c r="P1777" s="19"/>
      <c r="Q1777" s="19"/>
      <c r="R1777" s="19"/>
      <c r="S1777" s="19"/>
      <c r="T1777" s="19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</row>
    <row r="1778" spans="1:34" ht="15.75" customHeight="1" x14ac:dyDescent="0.25">
      <c r="A1778" s="3"/>
      <c r="B1778" s="3"/>
      <c r="C1778" s="18"/>
      <c r="D1778" s="18"/>
      <c r="E1778" s="19"/>
      <c r="F1778" s="19"/>
      <c r="G1778" s="20"/>
      <c r="H1778" s="3"/>
      <c r="I1778" s="19"/>
      <c r="J1778" s="19"/>
      <c r="K1778" s="19"/>
      <c r="L1778" s="19"/>
      <c r="M1778" s="19"/>
      <c r="N1778" s="19"/>
      <c r="O1778" s="19"/>
      <c r="P1778" s="19"/>
      <c r="Q1778" s="19"/>
      <c r="R1778" s="19"/>
      <c r="S1778" s="19"/>
      <c r="T1778" s="19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</row>
    <row r="1779" spans="1:34" ht="15.75" customHeight="1" x14ac:dyDescent="0.25">
      <c r="A1779" s="3"/>
      <c r="B1779" s="3"/>
      <c r="C1779" s="18"/>
      <c r="D1779" s="18"/>
      <c r="E1779" s="19"/>
      <c r="F1779" s="19"/>
      <c r="G1779" s="20"/>
      <c r="H1779" s="3"/>
      <c r="I1779" s="19"/>
      <c r="J1779" s="19"/>
      <c r="K1779" s="19"/>
      <c r="L1779" s="19"/>
      <c r="M1779" s="19"/>
      <c r="N1779" s="19"/>
      <c r="O1779" s="19"/>
      <c r="P1779" s="19"/>
      <c r="Q1779" s="19"/>
      <c r="R1779" s="19"/>
      <c r="S1779" s="19"/>
      <c r="T1779" s="19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</row>
    <row r="1780" spans="1:34" ht="15.75" customHeight="1" x14ac:dyDescent="0.25">
      <c r="A1780" s="3"/>
      <c r="B1780" s="3"/>
      <c r="C1780" s="18"/>
      <c r="D1780" s="18"/>
      <c r="E1780" s="19"/>
      <c r="F1780" s="19"/>
      <c r="G1780" s="20"/>
      <c r="H1780" s="3"/>
      <c r="I1780" s="19"/>
      <c r="J1780" s="19"/>
      <c r="K1780" s="19"/>
      <c r="L1780" s="19"/>
      <c r="M1780" s="19"/>
      <c r="N1780" s="19"/>
      <c r="O1780" s="19"/>
      <c r="P1780" s="19"/>
      <c r="Q1780" s="19"/>
      <c r="R1780" s="19"/>
      <c r="S1780" s="19"/>
      <c r="T1780" s="19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</row>
    <row r="1781" spans="1:34" ht="15.75" customHeight="1" x14ac:dyDescent="0.25">
      <c r="A1781" s="3"/>
      <c r="B1781" s="3"/>
      <c r="C1781" s="18"/>
      <c r="D1781" s="18"/>
      <c r="E1781" s="19"/>
      <c r="F1781" s="19"/>
      <c r="G1781" s="20"/>
      <c r="H1781" s="3"/>
      <c r="I1781" s="19"/>
      <c r="J1781" s="19"/>
      <c r="K1781" s="19"/>
      <c r="L1781" s="19"/>
      <c r="M1781" s="19"/>
      <c r="N1781" s="19"/>
      <c r="O1781" s="19"/>
      <c r="P1781" s="19"/>
      <c r="Q1781" s="19"/>
      <c r="R1781" s="19"/>
      <c r="S1781" s="19"/>
      <c r="T1781" s="19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</row>
    <row r="1782" spans="1:34" ht="15.75" customHeight="1" x14ac:dyDescent="0.25">
      <c r="A1782" s="3"/>
      <c r="B1782" s="3"/>
      <c r="C1782" s="18"/>
      <c r="D1782" s="18"/>
      <c r="E1782" s="19"/>
      <c r="F1782" s="19"/>
      <c r="G1782" s="20"/>
      <c r="H1782" s="3"/>
      <c r="I1782" s="19"/>
      <c r="J1782" s="19"/>
      <c r="K1782" s="19"/>
      <c r="L1782" s="19"/>
      <c r="M1782" s="19"/>
      <c r="N1782" s="19"/>
      <c r="O1782" s="19"/>
      <c r="P1782" s="19"/>
      <c r="Q1782" s="19"/>
      <c r="R1782" s="19"/>
      <c r="S1782" s="19"/>
      <c r="T1782" s="19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</row>
    <row r="1783" spans="1:34" ht="15.75" customHeight="1" x14ac:dyDescent="0.25">
      <c r="A1783" s="3"/>
      <c r="B1783" s="3"/>
      <c r="C1783" s="18"/>
      <c r="D1783" s="18"/>
      <c r="E1783" s="19"/>
      <c r="F1783" s="19"/>
      <c r="G1783" s="20"/>
      <c r="H1783" s="3"/>
      <c r="I1783" s="19"/>
      <c r="J1783" s="19"/>
      <c r="K1783" s="19"/>
      <c r="L1783" s="19"/>
      <c r="M1783" s="19"/>
      <c r="N1783" s="19"/>
      <c r="O1783" s="19"/>
      <c r="P1783" s="19"/>
      <c r="Q1783" s="19"/>
      <c r="R1783" s="19"/>
      <c r="S1783" s="19"/>
      <c r="T1783" s="19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</row>
    <row r="1784" spans="1:34" ht="15.75" customHeight="1" x14ac:dyDescent="0.25">
      <c r="A1784" s="3"/>
      <c r="B1784" s="3"/>
      <c r="C1784" s="18"/>
      <c r="D1784" s="18"/>
      <c r="E1784" s="19"/>
      <c r="F1784" s="19"/>
      <c r="G1784" s="20"/>
      <c r="H1784" s="3"/>
      <c r="I1784" s="19"/>
      <c r="J1784" s="19"/>
      <c r="K1784" s="19"/>
      <c r="L1784" s="19"/>
      <c r="M1784" s="19"/>
      <c r="N1784" s="19"/>
      <c r="O1784" s="19"/>
      <c r="P1784" s="19"/>
      <c r="Q1784" s="19"/>
      <c r="R1784" s="19"/>
      <c r="S1784" s="19"/>
      <c r="T1784" s="19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</row>
    <row r="1785" spans="1:34" ht="15.75" customHeight="1" x14ac:dyDescent="0.25">
      <c r="A1785" s="3"/>
      <c r="B1785" s="3"/>
      <c r="C1785" s="18"/>
      <c r="D1785" s="18"/>
      <c r="E1785" s="19"/>
      <c r="F1785" s="19"/>
      <c r="G1785" s="20"/>
      <c r="H1785" s="3"/>
      <c r="I1785" s="19"/>
      <c r="J1785" s="19"/>
      <c r="K1785" s="19"/>
      <c r="L1785" s="19"/>
      <c r="M1785" s="19"/>
      <c r="N1785" s="19"/>
      <c r="O1785" s="19"/>
      <c r="P1785" s="19"/>
      <c r="Q1785" s="19"/>
      <c r="R1785" s="19"/>
      <c r="S1785" s="19"/>
      <c r="T1785" s="19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</row>
    <row r="1786" spans="1:34" ht="15.75" customHeight="1" x14ac:dyDescent="0.25">
      <c r="A1786" s="3"/>
      <c r="B1786" s="3"/>
      <c r="C1786" s="18"/>
      <c r="D1786" s="18"/>
      <c r="E1786" s="19"/>
      <c r="F1786" s="19"/>
      <c r="G1786" s="20"/>
      <c r="H1786" s="3"/>
      <c r="I1786" s="19"/>
      <c r="J1786" s="19"/>
      <c r="K1786" s="19"/>
      <c r="L1786" s="19"/>
      <c r="M1786" s="19"/>
      <c r="N1786" s="19"/>
      <c r="O1786" s="19"/>
      <c r="P1786" s="19"/>
      <c r="Q1786" s="19"/>
      <c r="R1786" s="19"/>
      <c r="S1786" s="19"/>
      <c r="T1786" s="19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</row>
    <row r="1787" spans="1:34" ht="15.75" customHeight="1" x14ac:dyDescent="0.25">
      <c r="A1787" s="3"/>
      <c r="B1787" s="3"/>
      <c r="C1787" s="18"/>
      <c r="D1787" s="18"/>
      <c r="E1787" s="19"/>
      <c r="F1787" s="19"/>
      <c r="G1787" s="20"/>
      <c r="H1787" s="3"/>
      <c r="I1787" s="19"/>
      <c r="J1787" s="19"/>
      <c r="K1787" s="19"/>
      <c r="L1787" s="19"/>
      <c r="M1787" s="19"/>
      <c r="N1787" s="19"/>
      <c r="O1787" s="19"/>
      <c r="P1787" s="19"/>
      <c r="Q1787" s="19"/>
      <c r="R1787" s="19"/>
      <c r="S1787" s="19"/>
      <c r="T1787" s="19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</row>
    <row r="1788" spans="1:34" ht="15.75" customHeight="1" x14ac:dyDescent="0.25">
      <c r="A1788" s="3"/>
      <c r="B1788" s="3"/>
      <c r="C1788" s="18"/>
      <c r="D1788" s="18"/>
      <c r="E1788" s="19"/>
      <c r="F1788" s="19"/>
      <c r="G1788" s="20"/>
      <c r="H1788" s="3"/>
      <c r="I1788" s="19"/>
      <c r="J1788" s="19"/>
      <c r="K1788" s="19"/>
      <c r="L1788" s="19"/>
      <c r="M1788" s="19"/>
      <c r="N1788" s="19"/>
      <c r="O1788" s="19"/>
      <c r="P1788" s="19"/>
      <c r="Q1788" s="19"/>
      <c r="R1788" s="19"/>
      <c r="S1788" s="19"/>
      <c r="T1788" s="19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</row>
    <row r="1789" spans="1:34" ht="15.75" customHeight="1" x14ac:dyDescent="0.25">
      <c r="A1789" s="3"/>
      <c r="B1789" s="3"/>
      <c r="C1789" s="18"/>
      <c r="D1789" s="18"/>
      <c r="E1789" s="19"/>
      <c r="F1789" s="19"/>
      <c r="G1789" s="20"/>
      <c r="H1789" s="3"/>
      <c r="I1789" s="19"/>
      <c r="J1789" s="19"/>
      <c r="K1789" s="19"/>
      <c r="L1789" s="19"/>
      <c r="M1789" s="19"/>
      <c r="N1789" s="19"/>
      <c r="O1789" s="19"/>
      <c r="P1789" s="19"/>
      <c r="Q1789" s="19"/>
      <c r="R1789" s="19"/>
      <c r="S1789" s="19"/>
      <c r="T1789" s="19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</row>
    <row r="1790" spans="1:34" ht="15.75" customHeight="1" x14ac:dyDescent="0.25">
      <c r="A1790" s="3"/>
      <c r="B1790" s="3"/>
      <c r="C1790" s="18"/>
      <c r="D1790" s="18"/>
      <c r="E1790" s="19"/>
      <c r="F1790" s="19"/>
      <c r="G1790" s="20"/>
      <c r="H1790" s="3"/>
      <c r="I1790" s="19"/>
      <c r="J1790" s="19"/>
      <c r="K1790" s="19"/>
      <c r="L1790" s="19"/>
      <c r="M1790" s="19"/>
      <c r="N1790" s="19"/>
      <c r="O1790" s="19"/>
      <c r="P1790" s="19"/>
      <c r="Q1790" s="19"/>
      <c r="R1790" s="19"/>
      <c r="S1790" s="19"/>
      <c r="T1790" s="19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</row>
    <row r="1791" spans="1:34" ht="15.75" customHeight="1" x14ac:dyDescent="0.25">
      <c r="A1791" s="3"/>
      <c r="B1791" s="3"/>
      <c r="C1791" s="18"/>
      <c r="D1791" s="18"/>
      <c r="E1791" s="19"/>
      <c r="F1791" s="19"/>
      <c r="G1791" s="20"/>
      <c r="H1791" s="3"/>
      <c r="I1791" s="19"/>
      <c r="J1791" s="19"/>
      <c r="K1791" s="19"/>
      <c r="L1791" s="19"/>
      <c r="M1791" s="19"/>
      <c r="N1791" s="19"/>
      <c r="O1791" s="19"/>
      <c r="P1791" s="19"/>
      <c r="Q1791" s="19"/>
      <c r="R1791" s="19"/>
      <c r="S1791" s="19"/>
      <c r="T1791" s="19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</row>
    <row r="1792" spans="1:34" ht="15.75" customHeight="1" x14ac:dyDescent="0.25">
      <c r="A1792" s="3"/>
      <c r="B1792" s="3"/>
      <c r="C1792" s="18"/>
      <c r="D1792" s="18"/>
      <c r="E1792" s="19"/>
      <c r="F1792" s="19"/>
      <c r="G1792" s="20"/>
      <c r="H1792" s="3"/>
      <c r="I1792" s="19"/>
      <c r="J1792" s="19"/>
      <c r="K1792" s="19"/>
      <c r="L1792" s="19"/>
      <c r="M1792" s="19"/>
      <c r="N1792" s="19"/>
      <c r="O1792" s="19"/>
      <c r="P1792" s="19"/>
      <c r="Q1792" s="19"/>
      <c r="R1792" s="19"/>
      <c r="S1792" s="19"/>
      <c r="T1792" s="19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</row>
    <row r="1793" spans="1:34" ht="15.75" customHeight="1" x14ac:dyDescent="0.25">
      <c r="A1793" s="3"/>
      <c r="B1793" s="3"/>
      <c r="C1793" s="18"/>
      <c r="D1793" s="18"/>
      <c r="E1793" s="19"/>
      <c r="F1793" s="19"/>
      <c r="G1793" s="20"/>
      <c r="H1793" s="3"/>
      <c r="I1793" s="19"/>
      <c r="J1793" s="19"/>
      <c r="K1793" s="19"/>
      <c r="L1793" s="19"/>
      <c r="M1793" s="19"/>
      <c r="N1793" s="19"/>
      <c r="O1793" s="19"/>
      <c r="P1793" s="19"/>
      <c r="Q1793" s="19"/>
      <c r="R1793" s="19"/>
      <c r="S1793" s="19"/>
      <c r="T1793" s="19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</row>
    <row r="1794" spans="1:34" ht="15.75" customHeight="1" x14ac:dyDescent="0.25">
      <c r="A1794" s="3"/>
      <c r="B1794" s="3"/>
      <c r="C1794" s="18"/>
      <c r="D1794" s="18"/>
      <c r="E1794" s="19"/>
      <c r="F1794" s="19"/>
      <c r="G1794" s="20"/>
      <c r="H1794" s="3"/>
      <c r="I1794" s="19"/>
      <c r="J1794" s="19"/>
      <c r="K1794" s="19"/>
      <c r="L1794" s="19"/>
      <c r="M1794" s="19"/>
      <c r="N1794" s="19"/>
      <c r="O1794" s="19"/>
      <c r="P1794" s="19"/>
      <c r="Q1794" s="19"/>
      <c r="R1794" s="19"/>
      <c r="S1794" s="19"/>
      <c r="T1794" s="19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</row>
    <row r="1795" spans="1:34" ht="15.75" customHeight="1" x14ac:dyDescent="0.25">
      <c r="A1795" s="3"/>
      <c r="B1795" s="3"/>
      <c r="C1795" s="18"/>
      <c r="D1795" s="18"/>
      <c r="E1795" s="19"/>
      <c r="F1795" s="19"/>
      <c r="G1795" s="20"/>
      <c r="H1795" s="3"/>
      <c r="I1795" s="19"/>
      <c r="J1795" s="19"/>
      <c r="K1795" s="19"/>
      <c r="L1795" s="19"/>
      <c r="M1795" s="19"/>
      <c r="N1795" s="19"/>
      <c r="O1795" s="19"/>
      <c r="P1795" s="19"/>
      <c r="Q1795" s="19"/>
      <c r="R1795" s="19"/>
      <c r="S1795" s="19"/>
      <c r="T1795" s="19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</row>
    <row r="1796" spans="1:34" ht="15.75" customHeight="1" x14ac:dyDescent="0.25">
      <c r="A1796" s="3"/>
      <c r="B1796" s="3"/>
      <c r="C1796" s="18"/>
      <c r="D1796" s="18"/>
      <c r="E1796" s="19"/>
      <c r="F1796" s="19"/>
      <c r="G1796" s="20"/>
      <c r="H1796" s="3"/>
      <c r="I1796" s="19"/>
      <c r="J1796" s="19"/>
      <c r="K1796" s="19"/>
      <c r="L1796" s="19"/>
      <c r="M1796" s="19"/>
      <c r="N1796" s="19"/>
      <c r="O1796" s="19"/>
      <c r="P1796" s="19"/>
      <c r="Q1796" s="19"/>
      <c r="R1796" s="19"/>
      <c r="S1796" s="19"/>
      <c r="T1796" s="19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</row>
    <row r="1797" spans="1:34" ht="15.75" customHeight="1" x14ac:dyDescent="0.25">
      <c r="A1797" s="3"/>
      <c r="B1797" s="3"/>
      <c r="C1797" s="18"/>
      <c r="D1797" s="18"/>
      <c r="E1797" s="19"/>
      <c r="F1797" s="19"/>
      <c r="G1797" s="20"/>
      <c r="H1797" s="3"/>
      <c r="I1797" s="19"/>
      <c r="J1797" s="19"/>
      <c r="K1797" s="19"/>
      <c r="L1797" s="19"/>
      <c r="M1797" s="19"/>
      <c r="N1797" s="19"/>
      <c r="O1797" s="19"/>
      <c r="P1797" s="19"/>
      <c r="Q1797" s="19"/>
      <c r="R1797" s="19"/>
      <c r="S1797" s="19"/>
      <c r="T1797" s="19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</row>
    <row r="1798" spans="1:34" ht="15.75" customHeight="1" x14ac:dyDescent="0.25">
      <c r="A1798" s="3"/>
      <c r="B1798" s="3"/>
      <c r="C1798" s="18"/>
      <c r="D1798" s="18"/>
      <c r="E1798" s="19"/>
      <c r="F1798" s="19"/>
      <c r="G1798" s="20"/>
      <c r="H1798" s="3"/>
      <c r="I1798" s="19"/>
      <c r="J1798" s="19"/>
      <c r="K1798" s="19"/>
      <c r="L1798" s="19"/>
      <c r="M1798" s="19"/>
      <c r="N1798" s="19"/>
      <c r="O1798" s="19"/>
      <c r="P1798" s="19"/>
      <c r="Q1798" s="19"/>
      <c r="R1798" s="19"/>
      <c r="S1798" s="19"/>
      <c r="T1798" s="19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</row>
    <row r="1799" spans="1:34" ht="15.75" customHeight="1" x14ac:dyDescent="0.25">
      <c r="A1799" s="3"/>
      <c r="B1799" s="3"/>
      <c r="C1799" s="18"/>
      <c r="D1799" s="18"/>
      <c r="E1799" s="19"/>
      <c r="F1799" s="19"/>
      <c r="G1799" s="20"/>
      <c r="H1799" s="3"/>
      <c r="I1799" s="19"/>
      <c r="J1799" s="19"/>
      <c r="K1799" s="19"/>
      <c r="L1799" s="19"/>
      <c r="M1799" s="19"/>
      <c r="N1799" s="19"/>
      <c r="O1799" s="19"/>
      <c r="P1799" s="19"/>
      <c r="Q1799" s="19"/>
      <c r="R1799" s="19"/>
      <c r="S1799" s="19"/>
      <c r="T1799" s="19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</row>
    <row r="1800" spans="1:34" ht="15.75" customHeight="1" x14ac:dyDescent="0.25">
      <c r="A1800" s="3"/>
      <c r="B1800" s="3"/>
      <c r="C1800" s="18"/>
      <c r="D1800" s="18"/>
      <c r="E1800" s="19"/>
      <c r="F1800" s="19"/>
      <c r="G1800" s="20"/>
      <c r="H1800" s="3"/>
      <c r="I1800" s="19"/>
      <c r="J1800" s="19"/>
      <c r="K1800" s="19"/>
      <c r="L1800" s="19"/>
      <c r="M1800" s="19"/>
      <c r="N1800" s="19"/>
      <c r="O1800" s="19"/>
      <c r="P1800" s="19"/>
      <c r="Q1800" s="19"/>
      <c r="R1800" s="19"/>
      <c r="S1800" s="19"/>
      <c r="T1800" s="19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</row>
    <row r="1801" spans="1:34" ht="15.75" customHeight="1" x14ac:dyDescent="0.25">
      <c r="A1801" s="3"/>
      <c r="B1801" s="3"/>
      <c r="C1801" s="18"/>
      <c r="D1801" s="18"/>
      <c r="E1801" s="19"/>
      <c r="F1801" s="19"/>
      <c r="G1801" s="20"/>
      <c r="H1801" s="3"/>
      <c r="I1801" s="19"/>
      <c r="J1801" s="19"/>
      <c r="K1801" s="19"/>
      <c r="L1801" s="19"/>
      <c r="M1801" s="19"/>
      <c r="N1801" s="19"/>
      <c r="O1801" s="19"/>
      <c r="P1801" s="19"/>
      <c r="Q1801" s="19"/>
      <c r="R1801" s="19"/>
      <c r="S1801" s="19"/>
      <c r="T1801" s="19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</row>
    <row r="1802" spans="1:34" ht="15.75" customHeight="1" x14ac:dyDescent="0.25">
      <c r="A1802" s="3"/>
      <c r="B1802" s="3"/>
      <c r="C1802" s="18"/>
      <c r="D1802" s="18"/>
      <c r="E1802" s="19"/>
      <c r="F1802" s="19"/>
      <c r="G1802" s="20"/>
      <c r="H1802" s="3"/>
      <c r="I1802" s="19"/>
      <c r="J1802" s="19"/>
      <c r="K1802" s="19"/>
      <c r="L1802" s="19"/>
      <c r="M1802" s="19"/>
      <c r="N1802" s="19"/>
      <c r="O1802" s="19"/>
      <c r="P1802" s="19"/>
      <c r="Q1802" s="19"/>
      <c r="R1802" s="19"/>
      <c r="S1802" s="19"/>
      <c r="T1802" s="19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</row>
    <row r="1803" spans="1:34" ht="15.75" customHeight="1" x14ac:dyDescent="0.25">
      <c r="A1803" s="3"/>
      <c r="B1803" s="3"/>
      <c r="C1803" s="18"/>
      <c r="D1803" s="18"/>
      <c r="E1803" s="19"/>
      <c r="F1803" s="19"/>
      <c r="G1803" s="20"/>
      <c r="H1803" s="3"/>
      <c r="I1803" s="19"/>
      <c r="J1803" s="19"/>
      <c r="K1803" s="19"/>
      <c r="L1803" s="19"/>
      <c r="M1803" s="19"/>
      <c r="N1803" s="19"/>
      <c r="O1803" s="19"/>
      <c r="P1803" s="19"/>
      <c r="Q1803" s="19"/>
      <c r="R1803" s="19"/>
      <c r="S1803" s="19"/>
      <c r="T1803" s="19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</row>
    <row r="1804" spans="1:34" ht="15.75" customHeight="1" x14ac:dyDescent="0.25">
      <c r="A1804" s="3"/>
      <c r="B1804" s="3"/>
      <c r="C1804" s="18"/>
      <c r="D1804" s="18"/>
      <c r="E1804" s="19"/>
      <c r="F1804" s="19"/>
      <c r="G1804" s="20"/>
      <c r="H1804" s="3"/>
      <c r="I1804" s="19"/>
      <c r="J1804" s="19"/>
      <c r="K1804" s="19"/>
      <c r="L1804" s="19"/>
      <c r="M1804" s="19"/>
      <c r="N1804" s="19"/>
      <c r="O1804" s="19"/>
      <c r="P1804" s="19"/>
      <c r="Q1804" s="19"/>
      <c r="R1804" s="19"/>
      <c r="S1804" s="19"/>
      <c r="T1804" s="19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</row>
    <row r="1805" spans="1:34" ht="15.75" customHeight="1" x14ac:dyDescent="0.25">
      <c r="A1805" s="3"/>
      <c r="B1805" s="3"/>
      <c r="C1805" s="18"/>
      <c r="D1805" s="18"/>
      <c r="E1805" s="19"/>
      <c r="F1805" s="19"/>
      <c r="G1805" s="20"/>
      <c r="H1805" s="3"/>
      <c r="I1805" s="19"/>
      <c r="J1805" s="19"/>
      <c r="K1805" s="19"/>
      <c r="L1805" s="19"/>
      <c r="M1805" s="19"/>
      <c r="N1805" s="19"/>
      <c r="O1805" s="19"/>
      <c r="P1805" s="19"/>
      <c r="Q1805" s="19"/>
      <c r="R1805" s="19"/>
      <c r="S1805" s="19"/>
      <c r="T1805" s="19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</row>
    <row r="1806" spans="1:34" ht="15.75" customHeight="1" x14ac:dyDescent="0.25">
      <c r="A1806" s="3"/>
      <c r="B1806" s="3"/>
      <c r="C1806" s="18"/>
      <c r="D1806" s="18"/>
      <c r="E1806" s="19"/>
      <c r="F1806" s="19"/>
      <c r="G1806" s="20"/>
      <c r="H1806" s="3"/>
      <c r="I1806" s="19"/>
      <c r="J1806" s="19"/>
      <c r="K1806" s="19"/>
      <c r="L1806" s="19"/>
      <c r="M1806" s="19"/>
      <c r="N1806" s="19"/>
      <c r="O1806" s="19"/>
      <c r="P1806" s="19"/>
      <c r="Q1806" s="19"/>
      <c r="R1806" s="19"/>
      <c r="S1806" s="19"/>
      <c r="T1806" s="19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</row>
    <row r="1807" spans="1:34" ht="15.75" customHeight="1" x14ac:dyDescent="0.25">
      <c r="A1807" s="3"/>
      <c r="B1807" s="3"/>
      <c r="C1807" s="18"/>
      <c r="D1807" s="18"/>
      <c r="E1807" s="19"/>
      <c r="F1807" s="19"/>
      <c r="G1807" s="20"/>
      <c r="H1807" s="3"/>
      <c r="I1807" s="19"/>
      <c r="J1807" s="19"/>
      <c r="K1807" s="19"/>
      <c r="L1807" s="19"/>
      <c r="M1807" s="19"/>
      <c r="N1807" s="19"/>
      <c r="O1807" s="19"/>
      <c r="P1807" s="19"/>
      <c r="Q1807" s="19"/>
      <c r="R1807" s="19"/>
      <c r="S1807" s="19"/>
      <c r="T1807" s="19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</row>
    <row r="1808" spans="1:34" ht="15.75" customHeight="1" x14ac:dyDescent="0.25">
      <c r="A1808" s="3"/>
      <c r="B1808" s="3"/>
      <c r="C1808" s="18"/>
      <c r="D1808" s="18"/>
      <c r="E1808" s="19"/>
      <c r="F1808" s="19"/>
      <c r="G1808" s="20"/>
      <c r="H1808" s="3"/>
      <c r="I1808" s="19"/>
      <c r="J1808" s="1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</row>
    <row r="1809" spans="1:34" ht="15.75" customHeight="1" x14ac:dyDescent="0.25">
      <c r="A1809" s="3"/>
      <c r="B1809" s="3"/>
      <c r="C1809" s="18"/>
      <c r="D1809" s="18"/>
      <c r="E1809" s="19"/>
      <c r="F1809" s="19"/>
      <c r="G1809" s="20"/>
      <c r="H1809" s="3"/>
      <c r="I1809" s="19"/>
      <c r="J1809" s="19"/>
      <c r="K1809" s="19"/>
      <c r="L1809" s="19"/>
      <c r="M1809" s="19"/>
      <c r="N1809" s="19"/>
      <c r="O1809" s="19"/>
      <c r="P1809" s="19"/>
      <c r="Q1809" s="19"/>
      <c r="R1809" s="19"/>
      <c r="S1809" s="19"/>
      <c r="T1809" s="19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</row>
    <row r="1810" spans="1:34" ht="15.75" customHeight="1" x14ac:dyDescent="0.25">
      <c r="A1810" s="3"/>
      <c r="B1810" s="3"/>
      <c r="C1810" s="18"/>
      <c r="D1810" s="18"/>
      <c r="E1810" s="19"/>
      <c r="F1810" s="19"/>
      <c r="G1810" s="20"/>
      <c r="H1810" s="3"/>
      <c r="I1810" s="19"/>
      <c r="J1810" s="19"/>
      <c r="K1810" s="19"/>
      <c r="L1810" s="19"/>
      <c r="M1810" s="19"/>
      <c r="N1810" s="19"/>
      <c r="O1810" s="19"/>
      <c r="P1810" s="19"/>
      <c r="Q1810" s="19"/>
      <c r="R1810" s="19"/>
      <c r="S1810" s="19"/>
      <c r="T1810" s="19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</row>
    <row r="1811" spans="1:34" ht="15.75" customHeight="1" x14ac:dyDescent="0.25">
      <c r="A1811" s="3"/>
      <c r="B1811" s="3"/>
      <c r="C1811" s="18"/>
      <c r="D1811" s="18"/>
      <c r="E1811" s="19"/>
      <c r="F1811" s="19"/>
      <c r="G1811" s="20"/>
      <c r="H1811" s="3"/>
      <c r="I1811" s="19"/>
      <c r="J1811" s="19"/>
      <c r="K1811" s="19"/>
      <c r="L1811" s="19"/>
      <c r="M1811" s="19"/>
      <c r="N1811" s="19"/>
      <c r="O1811" s="19"/>
      <c r="P1811" s="19"/>
      <c r="Q1811" s="19"/>
      <c r="R1811" s="19"/>
      <c r="S1811" s="19"/>
      <c r="T1811" s="19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</row>
    <row r="1812" spans="1:34" ht="15.75" customHeight="1" x14ac:dyDescent="0.25">
      <c r="A1812" s="3"/>
      <c r="B1812" s="3"/>
      <c r="C1812" s="18"/>
      <c r="D1812" s="18"/>
      <c r="E1812" s="19"/>
      <c r="F1812" s="19"/>
      <c r="G1812" s="20"/>
      <c r="H1812" s="3"/>
      <c r="I1812" s="19"/>
      <c r="J1812" s="19"/>
      <c r="K1812" s="19"/>
      <c r="L1812" s="19"/>
      <c r="M1812" s="19"/>
      <c r="N1812" s="19"/>
      <c r="O1812" s="19"/>
      <c r="P1812" s="19"/>
      <c r="Q1812" s="19"/>
      <c r="R1812" s="19"/>
      <c r="S1812" s="19"/>
      <c r="T1812" s="19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</row>
    <row r="1813" spans="1:34" ht="15.75" customHeight="1" x14ac:dyDescent="0.25">
      <c r="A1813" s="3"/>
      <c r="B1813" s="3"/>
      <c r="C1813" s="18"/>
      <c r="D1813" s="18"/>
      <c r="E1813" s="19"/>
      <c r="F1813" s="19"/>
      <c r="G1813" s="20"/>
      <c r="H1813" s="3"/>
      <c r="I1813" s="19"/>
      <c r="J1813" s="19"/>
      <c r="K1813" s="19"/>
      <c r="L1813" s="19"/>
      <c r="M1813" s="19"/>
      <c r="N1813" s="19"/>
      <c r="O1813" s="19"/>
      <c r="P1813" s="19"/>
      <c r="Q1813" s="19"/>
      <c r="R1813" s="19"/>
      <c r="S1813" s="19"/>
      <c r="T1813" s="19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</row>
    <row r="1814" spans="1:34" ht="15.75" customHeight="1" x14ac:dyDescent="0.25">
      <c r="A1814" s="3"/>
      <c r="B1814" s="3"/>
      <c r="C1814" s="18"/>
      <c r="D1814" s="18"/>
      <c r="E1814" s="19"/>
      <c r="F1814" s="19"/>
      <c r="G1814" s="20"/>
      <c r="H1814" s="3"/>
      <c r="I1814" s="19"/>
      <c r="J1814" s="19"/>
      <c r="K1814" s="19"/>
      <c r="L1814" s="19"/>
      <c r="M1814" s="19"/>
      <c r="N1814" s="19"/>
      <c r="O1814" s="19"/>
      <c r="P1814" s="19"/>
      <c r="Q1814" s="19"/>
      <c r="R1814" s="19"/>
      <c r="S1814" s="19"/>
      <c r="T1814" s="19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</row>
    <row r="1815" spans="1:34" ht="15.75" customHeight="1" x14ac:dyDescent="0.25">
      <c r="A1815" s="3"/>
      <c r="B1815" s="3"/>
      <c r="C1815" s="18"/>
      <c r="D1815" s="18"/>
      <c r="E1815" s="19"/>
      <c r="F1815" s="19"/>
      <c r="G1815" s="20"/>
      <c r="H1815" s="3"/>
      <c r="I1815" s="19"/>
      <c r="J1815" s="19"/>
      <c r="K1815" s="19"/>
      <c r="L1815" s="19"/>
      <c r="M1815" s="19"/>
      <c r="N1815" s="19"/>
      <c r="O1815" s="19"/>
      <c r="P1815" s="19"/>
      <c r="Q1815" s="19"/>
      <c r="R1815" s="19"/>
      <c r="S1815" s="19"/>
      <c r="T1815" s="19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</row>
    <row r="1816" spans="1:34" ht="15.75" customHeight="1" x14ac:dyDescent="0.25">
      <c r="A1816" s="3"/>
      <c r="B1816" s="3"/>
      <c r="C1816" s="18"/>
      <c r="D1816" s="18"/>
      <c r="E1816" s="19"/>
      <c r="F1816" s="19"/>
      <c r="G1816" s="20"/>
      <c r="H1816" s="3"/>
      <c r="I1816" s="19"/>
      <c r="J1816" s="19"/>
      <c r="K1816" s="19"/>
      <c r="L1816" s="19"/>
      <c r="M1816" s="19"/>
      <c r="N1816" s="19"/>
      <c r="O1816" s="19"/>
      <c r="P1816" s="19"/>
      <c r="Q1816" s="19"/>
      <c r="R1816" s="19"/>
      <c r="S1816" s="19"/>
      <c r="T1816" s="19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</row>
    <row r="1817" spans="1:34" ht="15.75" customHeight="1" x14ac:dyDescent="0.25">
      <c r="A1817" s="3"/>
      <c r="B1817" s="3"/>
      <c r="C1817" s="18"/>
      <c r="D1817" s="18"/>
      <c r="E1817" s="19"/>
      <c r="F1817" s="19"/>
      <c r="G1817" s="20"/>
      <c r="H1817" s="3"/>
      <c r="I1817" s="19"/>
      <c r="J1817" s="19"/>
      <c r="K1817" s="19"/>
      <c r="L1817" s="19"/>
      <c r="M1817" s="19"/>
      <c r="N1817" s="19"/>
      <c r="O1817" s="19"/>
      <c r="P1817" s="19"/>
      <c r="Q1817" s="19"/>
      <c r="R1817" s="19"/>
      <c r="S1817" s="19"/>
      <c r="T1817" s="19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</row>
    <row r="1818" spans="1:34" ht="15.75" customHeight="1" x14ac:dyDescent="0.25">
      <c r="A1818" s="3"/>
      <c r="B1818" s="3"/>
      <c r="C1818" s="18"/>
      <c r="D1818" s="18"/>
      <c r="E1818" s="19"/>
      <c r="F1818" s="19"/>
      <c r="G1818" s="20"/>
      <c r="H1818" s="3"/>
      <c r="I1818" s="19"/>
      <c r="J1818" s="19"/>
      <c r="K1818" s="19"/>
      <c r="L1818" s="19"/>
      <c r="M1818" s="19"/>
      <c r="N1818" s="19"/>
      <c r="O1818" s="19"/>
      <c r="P1818" s="19"/>
      <c r="Q1818" s="19"/>
      <c r="R1818" s="19"/>
      <c r="S1818" s="19"/>
      <c r="T1818" s="19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</row>
    <row r="1819" spans="1:34" ht="15.75" customHeight="1" x14ac:dyDescent="0.25">
      <c r="A1819" s="3"/>
      <c r="B1819" s="3"/>
      <c r="C1819" s="18"/>
      <c r="D1819" s="18"/>
      <c r="E1819" s="19"/>
      <c r="F1819" s="19"/>
      <c r="G1819" s="20"/>
      <c r="H1819" s="3"/>
      <c r="I1819" s="19"/>
      <c r="J1819" s="19"/>
      <c r="K1819" s="19"/>
      <c r="L1819" s="19"/>
      <c r="M1819" s="19"/>
      <c r="N1819" s="19"/>
      <c r="O1819" s="19"/>
      <c r="P1819" s="19"/>
      <c r="Q1819" s="19"/>
      <c r="R1819" s="19"/>
      <c r="S1819" s="19"/>
      <c r="T1819" s="19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</row>
    <row r="1820" spans="1:34" ht="15.75" customHeight="1" x14ac:dyDescent="0.25">
      <c r="A1820" s="3"/>
      <c r="B1820" s="3"/>
      <c r="C1820" s="18"/>
      <c r="D1820" s="18"/>
      <c r="E1820" s="19"/>
      <c r="F1820" s="19"/>
      <c r="G1820" s="20"/>
      <c r="H1820" s="3"/>
      <c r="I1820" s="19"/>
      <c r="J1820" s="19"/>
      <c r="K1820" s="19"/>
      <c r="L1820" s="19"/>
      <c r="M1820" s="19"/>
      <c r="N1820" s="19"/>
      <c r="O1820" s="19"/>
      <c r="P1820" s="19"/>
      <c r="Q1820" s="19"/>
      <c r="R1820" s="19"/>
      <c r="S1820" s="19"/>
      <c r="T1820" s="19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</row>
    <row r="1821" spans="1:34" ht="15.75" customHeight="1" x14ac:dyDescent="0.25">
      <c r="A1821" s="3"/>
      <c r="B1821" s="3"/>
      <c r="C1821" s="18"/>
      <c r="D1821" s="18"/>
      <c r="E1821" s="19"/>
      <c r="F1821" s="19"/>
      <c r="G1821" s="20"/>
      <c r="H1821" s="3"/>
      <c r="I1821" s="19"/>
      <c r="J1821" s="19"/>
      <c r="K1821" s="19"/>
      <c r="L1821" s="19"/>
      <c r="M1821" s="19"/>
      <c r="N1821" s="19"/>
      <c r="O1821" s="19"/>
      <c r="P1821" s="19"/>
      <c r="Q1821" s="19"/>
      <c r="R1821" s="19"/>
      <c r="S1821" s="19"/>
      <c r="T1821" s="19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</row>
    <row r="1822" spans="1:34" ht="15.75" customHeight="1" x14ac:dyDescent="0.25">
      <c r="A1822" s="3"/>
      <c r="B1822" s="3"/>
      <c r="C1822" s="18"/>
      <c r="D1822" s="18"/>
      <c r="E1822" s="19"/>
      <c r="F1822" s="19"/>
      <c r="G1822" s="20"/>
      <c r="H1822" s="3"/>
      <c r="I1822" s="19"/>
      <c r="J1822" s="19"/>
      <c r="K1822" s="19"/>
      <c r="L1822" s="19"/>
      <c r="M1822" s="19"/>
      <c r="N1822" s="19"/>
      <c r="O1822" s="19"/>
      <c r="P1822" s="19"/>
      <c r="Q1822" s="19"/>
      <c r="R1822" s="19"/>
      <c r="S1822" s="19"/>
      <c r="T1822" s="19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</row>
    <row r="1823" spans="1:34" ht="15.75" customHeight="1" x14ac:dyDescent="0.25">
      <c r="A1823" s="3"/>
      <c r="B1823" s="3"/>
      <c r="C1823" s="18"/>
      <c r="D1823" s="18"/>
      <c r="E1823" s="19"/>
      <c r="F1823" s="19"/>
      <c r="G1823" s="20"/>
      <c r="H1823" s="3"/>
      <c r="I1823" s="19"/>
      <c r="J1823" s="19"/>
      <c r="K1823" s="19"/>
      <c r="L1823" s="19"/>
      <c r="M1823" s="19"/>
      <c r="N1823" s="19"/>
      <c r="O1823" s="19"/>
      <c r="P1823" s="19"/>
      <c r="Q1823" s="19"/>
      <c r="R1823" s="19"/>
      <c r="S1823" s="19"/>
      <c r="T1823" s="19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</row>
    <row r="1824" spans="1:34" ht="15.75" customHeight="1" x14ac:dyDescent="0.25">
      <c r="A1824" s="3"/>
      <c r="B1824" s="3"/>
      <c r="C1824" s="18"/>
      <c r="D1824" s="18"/>
      <c r="E1824" s="19"/>
      <c r="F1824" s="19"/>
      <c r="G1824" s="20"/>
      <c r="H1824" s="3"/>
      <c r="I1824" s="19"/>
      <c r="J1824" s="19"/>
      <c r="K1824" s="19"/>
      <c r="L1824" s="19"/>
      <c r="M1824" s="19"/>
      <c r="N1824" s="19"/>
      <c r="O1824" s="19"/>
      <c r="P1824" s="19"/>
      <c r="Q1824" s="19"/>
      <c r="R1824" s="19"/>
      <c r="S1824" s="19"/>
      <c r="T1824" s="19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</row>
    <row r="1825" spans="1:34" ht="15.75" customHeight="1" x14ac:dyDescent="0.25">
      <c r="A1825" s="3"/>
      <c r="B1825" s="3"/>
      <c r="C1825" s="18"/>
      <c r="D1825" s="18"/>
      <c r="E1825" s="19"/>
      <c r="F1825" s="19"/>
      <c r="G1825" s="20"/>
      <c r="H1825" s="3"/>
      <c r="I1825" s="19"/>
      <c r="J1825" s="19"/>
      <c r="K1825" s="19"/>
      <c r="L1825" s="19"/>
      <c r="M1825" s="19"/>
      <c r="N1825" s="19"/>
      <c r="O1825" s="19"/>
      <c r="P1825" s="19"/>
      <c r="Q1825" s="19"/>
      <c r="R1825" s="19"/>
      <c r="S1825" s="19"/>
      <c r="T1825" s="19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</row>
    <row r="1826" spans="1:34" ht="15.75" customHeight="1" x14ac:dyDescent="0.25">
      <c r="A1826" s="3"/>
      <c r="B1826" s="3"/>
      <c r="C1826" s="18"/>
      <c r="D1826" s="18"/>
      <c r="E1826" s="19"/>
      <c r="F1826" s="19"/>
      <c r="G1826" s="20"/>
      <c r="H1826" s="3"/>
      <c r="I1826" s="19"/>
      <c r="J1826" s="19"/>
      <c r="K1826" s="19"/>
      <c r="L1826" s="19"/>
      <c r="M1826" s="19"/>
      <c r="N1826" s="19"/>
      <c r="O1826" s="19"/>
      <c r="P1826" s="19"/>
      <c r="Q1826" s="19"/>
      <c r="R1826" s="19"/>
      <c r="S1826" s="19"/>
      <c r="T1826" s="19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</row>
    <row r="1827" spans="1:34" ht="15.75" customHeight="1" x14ac:dyDescent="0.25">
      <c r="A1827" s="3"/>
      <c r="B1827" s="3"/>
      <c r="C1827" s="18"/>
      <c r="D1827" s="18"/>
      <c r="E1827" s="19"/>
      <c r="F1827" s="19"/>
      <c r="G1827" s="20"/>
      <c r="H1827" s="3"/>
      <c r="I1827" s="19"/>
      <c r="J1827" s="19"/>
      <c r="K1827" s="19"/>
      <c r="L1827" s="19"/>
      <c r="M1827" s="19"/>
      <c r="N1827" s="19"/>
      <c r="O1827" s="19"/>
      <c r="P1827" s="19"/>
      <c r="Q1827" s="19"/>
      <c r="R1827" s="19"/>
      <c r="S1827" s="19"/>
      <c r="T1827" s="19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</row>
    <row r="1828" spans="1:34" ht="15.75" customHeight="1" x14ac:dyDescent="0.25">
      <c r="A1828" s="3"/>
      <c r="B1828" s="3"/>
      <c r="C1828" s="18"/>
      <c r="D1828" s="18"/>
      <c r="E1828" s="19"/>
      <c r="F1828" s="19"/>
      <c r="G1828" s="20"/>
      <c r="H1828" s="3"/>
      <c r="I1828" s="19"/>
      <c r="J1828" s="19"/>
      <c r="K1828" s="19"/>
      <c r="L1828" s="19"/>
      <c r="M1828" s="19"/>
      <c r="N1828" s="19"/>
      <c r="O1828" s="19"/>
      <c r="P1828" s="19"/>
      <c r="Q1828" s="19"/>
      <c r="R1828" s="19"/>
      <c r="S1828" s="19"/>
      <c r="T1828" s="19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</row>
    <row r="1829" spans="1:34" ht="15.75" customHeight="1" x14ac:dyDescent="0.25">
      <c r="A1829" s="3"/>
      <c r="B1829" s="3"/>
      <c r="C1829" s="18"/>
      <c r="D1829" s="18"/>
      <c r="E1829" s="19"/>
      <c r="F1829" s="19"/>
      <c r="G1829" s="20"/>
      <c r="H1829" s="3"/>
      <c r="I1829" s="19"/>
      <c r="J1829" s="19"/>
      <c r="K1829" s="19"/>
      <c r="L1829" s="19"/>
      <c r="M1829" s="19"/>
      <c r="N1829" s="19"/>
      <c r="O1829" s="19"/>
      <c r="P1829" s="19"/>
      <c r="Q1829" s="19"/>
      <c r="R1829" s="19"/>
      <c r="S1829" s="19"/>
      <c r="T1829" s="19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</row>
    <row r="1830" spans="1:34" ht="15.75" customHeight="1" x14ac:dyDescent="0.25">
      <c r="A1830" s="3"/>
      <c r="B1830" s="3"/>
      <c r="C1830" s="18"/>
      <c r="D1830" s="18"/>
      <c r="E1830" s="19"/>
      <c r="F1830" s="19"/>
      <c r="G1830" s="20"/>
      <c r="H1830" s="3"/>
      <c r="I1830" s="19"/>
      <c r="J1830" s="19"/>
      <c r="K1830" s="19"/>
      <c r="L1830" s="19"/>
      <c r="M1830" s="19"/>
      <c r="N1830" s="19"/>
      <c r="O1830" s="19"/>
      <c r="P1830" s="19"/>
      <c r="Q1830" s="19"/>
      <c r="R1830" s="19"/>
      <c r="S1830" s="19"/>
      <c r="T1830" s="19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</row>
    <row r="1831" spans="1:34" ht="15.75" customHeight="1" x14ac:dyDescent="0.25">
      <c r="A1831" s="3"/>
      <c r="B1831" s="3"/>
      <c r="C1831" s="18"/>
      <c r="D1831" s="18"/>
      <c r="E1831" s="19"/>
      <c r="F1831" s="19"/>
      <c r="G1831" s="20"/>
      <c r="H1831" s="3"/>
      <c r="I1831" s="19"/>
      <c r="J1831" s="19"/>
      <c r="K1831" s="19"/>
      <c r="L1831" s="19"/>
      <c r="M1831" s="19"/>
      <c r="N1831" s="19"/>
      <c r="O1831" s="19"/>
      <c r="P1831" s="19"/>
      <c r="Q1831" s="19"/>
      <c r="R1831" s="19"/>
      <c r="S1831" s="19"/>
      <c r="T1831" s="19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</row>
    <row r="1832" spans="1:34" ht="15.75" customHeight="1" x14ac:dyDescent="0.25">
      <c r="A1832" s="3"/>
      <c r="B1832" s="3"/>
      <c r="C1832" s="18"/>
      <c r="D1832" s="18"/>
      <c r="E1832" s="19"/>
      <c r="F1832" s="19"/>
      <c r="G1832" s="20"/>
      <c r="H1832" s="3"/>
      <c r="I1832" s="19"/>
      <c r="J1832" s="19"/>
      <c r="K1832" s="19"/>
      <c r="L1832" s="19"/>
      <c r="M1832" s="19"/>
      <c r="N1832" s="19"/>
      <c r="O1832" s="19"/>
      <c r="P1832" s="19"/>
      <c r="Q1832" s="19"/>
      <c r="R1832" s="19"/>
      <c r="S1832" s="19"/>
      <c r="T1832" s="19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</row>
    <row r="1833" spans="1:34" ht="15.75" customHeight="1" x14ac:dyDescent="0.25">
      <c r="A1833" s="3"/>
      <c r="B1833" s="3"/>
      <c r="C1833" s="18"/>
      <c r="D1833" s="18"/>
      <c r="E1833" s="19"/>
      <c r="F1833" s="19"/>
      <c r="G1833" s="20"/>
      <c r="H1833" s="3"/>
      <c r="I1833" s="19"/>
      <c r="J1833" s="19"/>
      <c r="K1833" s="19"/>
      <c r="L1833" s="19"/>
      <c r="M1833" s="19"/>
      <c r="N1833" s="19"/>
      <c r="O1833" s="19"/>
      <c r="P1833" s="19"/>
      <c r="Q1833" s="19"/>
      <c r="R1833" s="19"/>
      <c r="S1833" s="19"/>
      <c r="T1833" s="19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</row>
    <row r="1834" spans="1:34" ht="15.75" customHeight="1" x14ac:dyDescent="0.25">
      <c r="A1834" s="3"/>
      <c r="B1834" s="3"/>
      <c r="C1834" s="18"/>
      <c r="D1834" s="18"/>
      <c r="E1834" s="19"/>
      <c r="F1834" s="19"/>
      <c r="G1834" s="20"/>
      <c r="H1834" s="3"/>
      <c r="I1834" s="19"/>
      <c r="J1834" s="19"/>
      <c r="K1834" s="19"/>
      <c r="L1834" s="19"/>
      <c r="M1834" s="19"/>
      <c r="N1834" s="19"/>
      <c r="O1834" s="19"/>
      <c r="P1834" s="19"/>
      <c r="Q1834" s="19"/>
      <c r="R1834" s="19"/>
      <c r="S1834" s="19"/>
      <c r="T1834" s="19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</row>
    <row r="1835" spans="1:34" ht="15.75" customHeight="1" x14ac:dyDescent="0.25">
      <c r="A1835" s="3"/>
      <c r="B1835" s="3"/>
      <c r="C1835" s="18"/>
      <c r="D1835" s="18"/>
      <c r="E1835" s="19"/>
      <c r="F1835" s="19"/>
      <c r="G1835" s="20"/>
      <c r="H1835" s="3"/>
      <c r="I1835" s="19"/>
      <c r="J1835" s="19"/>
      <c r="K1835" s="19"/>
      <c r="L1835" s="19"/>
      <c r="M1835" s="19"/>
      <c r="N1835" s="19"/>
      <c r="O1835" s="19"/>
      <c r="P1835" s="19"/>
      <c r="Q1835" s="19"/>
      <c r="R1835" s="19"/>
      <c r="S1835" s="19"/>
      <c r="T1835" s="19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</row>
    <row r="1836" spans="1:34" ht="15.75" customHeight="1" x14ac:dyDescent="0.25">
      <c r="A1836" s="3"/>
      <c r="B1836" s="3"/>
      <c r="C1836" s="18"/>
      <c r="D1836" s="18"/>
      <c r="E1836" s="19"/>
      <c r="F1836" s="19"/>
      <c r="G1836" s="20"/>
      <c r="H1836" s="3"/>
      <c r="I1836" s="19"/>
      <c r="J1836" s="19"/>
      <c r="K1836" s="19"/>
      <c r="L1836" s="19"/>
      <c r="M1836" s="19"/>
      <c r="N1836" s="19"/>
      <c r="O1836" s="19"/>
      <c r="P1836" s="19"/>
      <c r="Q1836" s="19"/>
      <c r="R1836" s="19"/>
      <c r="S1836" s="19"/>
      <c r="T1836" s="19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</row>
    <row r="1837" spans="1:34" ht="15.75" customHeight="1" x14ac:dyDescent="0.25">
      <c r="A1837" s="3"/>
      <c r="B1837" s="3"/>
      <c r="C1837" s="18"/>
      <c r="D1837" s="18"/>
      <c r="E1837" s="19"/>
      <c r="F1837" s="19"/>
      <c r="G1837" s="20"/>
      <c r="H1837" s="3"/>
      <c r="I1837" s="19"/>
      <c r="J1837" s="19"/>
      <c r="K1837" s="19"/>
      <c r="L1837" s="19"/>
      <c r="M1837" s="19"/>
      <c r="N1837" s="19"/>
      <c r="O1837" s="19"/>
      <c r="P1837" s="19"/>
      <c r="Q1837" s="19"/>
      <c r="R1837" s="19"/>
      <c r="S1837" s="19"/>
      <c r="T1837" s="19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</row>
    <row r="1838" spans="1:34" ht="15.75" customHeight="1" x14ac:dyDescent="0.25">
      <c r="A1838" s="3"/>
      <c r="B1838" s="3"/>
      <c r="C1838" s="18"/>
      <c r="D1838" s="18"/>
      <c r="E1838" s="19"/>
      <c r="F1838" s="19"/>
      <c r="G1838" s="20"/>
      <c r="H1838" s="3"/>
      <c r="I1838" s="19"/>
      <c r="J1838" s="19"/>
      <c r="K1838" s="19"/>
      <c r="L1838" s="19"/>
      <c r="M1838" s="19"/>
      <c r="N1838" s="19"/>
      <c r="O1838" s="19"/>
      <c r="P1838" s="19"/>
      <c r="Q1838" s="19"/>
      <c r="R1838" s="19"/>
      <c r="S1838" s="19"/>
      <c r="T1838" s="19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</row>
    <row r="1839" spans="1:34" ht="15.75" customHeight="1" x14ac:dyDescent="0.25">
      <c r="A1839" s="3"/>
      <c r="B1839" s="3"/>
      <c r="C1839" s="18"/>
      <c r="D1839" s="18"/>
      <c r="E1839" s="19"/>
      <c r="F1839" s="19"/>
      <c r="G1839" s="20"/>
      <c r="H1839" s="3"/>
      <c r="I1839" s="19"/>
      <c r="J1839" s="19"/>
      <c r="K1839" s="19"/>
      <c r="L1839" s="19"/>
      <c r="M1839" s="19"/>
      <c r="N1839" s="19"/>
      <c r="O1839" s="19"/>
      <c r="P1839" s="19"/>
      <c r="Q1839" s="19"/>
      <c r="R1839" s="19"/>
      <c r="S1839" s="19"/>
      <c r="T1839" s="19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</row>
    <row r="1840" spans="1:34" ht="15.75" customHeight="1" x14ac:dyDescent="0.25">
      <c r="A1840" s="3"/>
      <c r="B1840" s="3"/>
      <c r="C1840" s="18"/>
      <c r="D1840" s="18"/>
      <c r="E1840" s="19"/>
      <c r="F1840" s="19"/>
      <c r="G1840" s="20"/>
      <c r="H1840" s="3"/>
      <c r="I1840" s="19"/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</row>
    <row r="1841" spans="1:34" ht="15.75" customHeight="1" x14ac:dyDescent="0.25">
      <c r="A1841" s="3"/>
      <c r="B1841" s="3"/>
      <c r="C1841" s="18"/>
      <c r="D1841" s="18"/>
      <c r="E1841" s="19"/>
      <c r="F1841" s="19"/>
      <c r="G1841" s="20"/>
      <c r="H1841" s="3"/>
      <c r="I1841" s="19"/>
      <c r="J1841" s="19"/>
      <c r="K1841" s="19"/>
      <c r="L1841" s="19"/>
      <c r="M1841" s="19"/>
      <c r="N1841" s="19"/>
      <c r="O1841" s="19"/>
      <c r="P1841" s="19"/>
      <c r="Q1841" s="19"/>
      <c r="R1841" s="19"/>
      <c r="S1841" s="19"/>
      <c r="T1841" s="19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</row>
    <row r="1842" spans="1:34" ht="15.75" customHeight="1" x14ac:dyDescent="0.25">
      <c r="A1842" s="3"/>
      <c r="B1842" s="3"/>
      <c r="C1842" s="18"/>
      <c r="D1842" s="18"/>
      <c r="E1842" s="19"/>
      <c r="F1842" s="19"/>
      <c r="G1842" s="20"/>
      <c r="H1842" s="3"/>
      <c r="I1842" s="19"/>
      <c r="J1842" s="19"/>
      <c r="K1842" s="19"/>
      <c r="L1842" s="19"/>
      <c r="M1842" s="19"/>
      <c r="N1842" s="19"/>
      <c r="O1842" s="19"/>
      <c r="P1842" s="19"/>
      <c r="Q1842" s="19"/>
      <c r="R1842" s="19"/>
      <c r="S1842" s="19"/>
      <c r="T1842" s="19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</row>
    <row r="1843" spans="1:34" ht="15.75" customHeight="1" x14ac:dyDescent="0.25">
      <c r="A1843" s="3"/>
      <c r="B1843" s="3"/>
      <c r="C1843" s="18"/>
      <c r="D1843" s="18"/>
      <c r="E1843" s="19"/>
      <c r="F1843" s="19"/>
      <c r="G1843" s="20"/>
      <c r="H1843" s="3"/>
      <c r="I1843" s="19"/>
      <c r="J1843" s="19"/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</row>
    <row r="1844" spans="1:34" ht="15.75" customHeight="1" x14ac:dyDescent="0.25">
      <c r="A1844" s="3"/>
      <c r="B1844" s="3"/>
      <c r="C1844" s="18"/>
      <c r="D1844" s="18"/>
      <c r="E1844" s="19"/>
      <c r="F1844" s="19"/>
      <c r="G1844" s="20"/>
      <c r="H1844" s="3"/>
      <c r="I1844" s="19"/>
      <c r="J1844" s="19"/>
      <c r="K1844" s="19"/>
      <c r="L1844" s="19"/>
      <c r="M1844" s="19"/>
      <c r="N1844" s="19"/>
      <c r="O1844" s="19"/>
      <c r="P1844" s="19"/>
      <c r="Q1844" s="19"/>
      <c r="R1844" s="19"/>
      <c r="S1844" s="19"/>
      <c r="T1844" s="19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</row>
    <row r="1845" spans="1:34" ht="15.75" customHeight="1" x14ac:dyDescent="0.25">
      <c r="A1845" s="3"/>
      <c r="B1845" s="3"/>
      <c r="C1845" s="18"/>
      <c r="D1845" s="18"/>
      <c r="E1845" s="19"/>
      <c r="F1845" s="19"/>
      <c r="G1845" s="20"/>
      <c r="H1845" s="3"/>
      <c r="I1845" s="19"/>
      <c r="J1845" s="19"/>
      <c r="K1845" s="19"/>
      <c r="L1845" s="19"/>
      <c r="M1845" s="19"/>
      <c r="N1845" s="19"/>
      <c r="O1845" s="19"/>
      <c r="P1845" s="19"/>
      <c r="Q1845" s="19"/>
      <c r="R1845" s="19"/>
      <c r="S1845" s="19"/>
      <c r="T1845" s="19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</row>
    <row r="1846" spans="1:34" ht="15.75" customHeight="1" x14ac:dyDescent="0.25">
      <c r="A1846" s="3"/>
      <c r="B1846" s="3"/>
      <c r="C1846" s="18"/>
      <c r="D1846" s="18"/>
      <c r="E1846" s="19"/>
      <c r="F1846" s="19"/>
      <c r="G1846" s="20"/>
      <c r="H1846" s="3"/>
      <c r="I1846" s="19"/>
      <c r="J1846" s="19"/>
      <c r="K1846" s="19"/>
      <c r="L1846" s="19"/>
      <c r="M1846" s="19"/>
      <c r="N1846" s="19"/>
      <c r="O1846" s="19"/>
      <c r="P1846" s="19"/>
      <c r="Q1846" s="19"/>
      <c r="R1846" s="19"/>
      <c r="S1846" s="19"/>
      <c r="T1846" s="19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</row>
    <row r="1847" spans="1:34" ht="15.75" customHeight="1" x14ac:dyDescent="0.25">
      <c r="A1847" s="3"/>
      <c r="B1847" s="3"/>
      <c r="C1847" s="18"/>
      <c r="D1847" s="18"/>
      <c r="E1847" s="19"/>
      <c r="F1847" s="19"/>
      <c r="G1847" s="20"/>
      <c r="H1847" s="3"/>
      <c r="I1847" s="19"/>
      <c r="J1847" s="19"/>
      <c r="K1847" s="19"/>
      <c r="L1847" s="19"/>
      <c r="M1847" s="19"/>
      <c r="N1847" s="19"/>
      <c r="O1847" s="19"/>
      <c r="P1847" s="19"/>
      <c r="Q1847" s="19"/>
      <c r="R1847" s="19"/>
      <c r="S1847" s="19"/>
      <c r="T1847" s="19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</row>
    <row r="1848" spans="1:34" ht="15.75" customHeight="1" x14ac:dyDescent="0.25">
      <c r="A1848" s="3"/>
      <c r="B1848" s="3"/>
      <c r="C1848" s="18"/>
      <c r="D1848" s="18"/>
      <c r="E1848" s="19"/>
      <c r="F1848" s="19"/>
      <c r="G1848" s="20"/>
      <c r="H1848" s="3"/>
      <c r="I1848" s="19"/>
      <c r="J1848" s="19"/>
      <c r="K1848" s="19"/>
      <c r="L1848" s="19"/>
      <c r="M1848" s="19"/>
      <c r="N1848" s="19"/>
      <c r="O1848" s="19"/>
      <c r="P1848" s="19"/>
      <c r="Q1848" s="19"/>
      <c r="R1848" s="19"/>
      <c r="S1848" s="19"/>
      <c r="T1848" s="19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</row>
    <row r="1849" spans="1:34" ht="15.75" customHeight="1" x14ac:dyDescent="0.25">
      <c r="A1849" s="3"/>
      <c r="B1849" s="3"/>
      <c r="C1849" s="18"/>
      <c r="D1849" s="18"/>
      <c r="E1849" s="19"/>
      <c r="F1849" s="19"/>
      <c r="G1849" s="20"/>
      <c r="H1849" s="3"/>
      <c r="I1849" s="19"/>
      <c r="J1849" s="19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</row>
    <row r="1850" spans="1:34" ht="15.75" customHeight="1" x14ac:dyDescent="0.25">
      <c r="A1850" s="3"/>
      <c r="B1850" s="3"/>
      <c r="C1850" s="18"/>
      <c r="D1850" s="18"/>
      <c r="E1850" s="19"/>
      <c r="F1850" s="19"/>
      <c r="G1850" s="20"/>
      <c r="H1850" s="3"/>
      <c r="I1850" s="19"/>
      <c r="J1850" s="19"/>
      <c r="K1850" s="19"/>
      <c r="L1850" s="19"/>
      <c r="M1850" s="19"/>
      <c r="N1850" s="19"/>
      <c r="O1850" s="19"/>
      <c r="P1850" s="19"/>
      <c r="Q1850" s="19"/>
      <c r="R1850" s="19"/>
      <c r="S1850" s="19"/>
      <c r="T1850" s="19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</row>
    <row r="1851" spans="1:34" ht="15.75" customHeight="1" x14ac:dyDescent="0.25">
      <c r="A1851" s="3"/>
      <c r="B1851" s="3"/>
      <c r="C1851" s="18"/>
      <c r="D1851" s="18"/>
      <c r="E1851" s="19"/>
      <c r="F1851" s="19"/>
      <c r="G1851" s="20"/>
      <c r="H1851" s="3"/>
      <c r="I1851" s="19"/>
      <c r="J1851" s="19"/>
      <c r="K1851" s="19"/>
      <c r="L1851" s="19"/>
      <c r="M1851" s="19"/>
      <c r="N1851" s="19"/>
      <c r="O1851" s="19"/>
      <c r="P1851" s="19"/>
      <c r="Q1851" s="19"/>
      <c r="R1851" s="19"/>
      <c r="S1851" s="19"/>
      <c r="T1851" s="19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</row>
    <row r="1852" spans="1:34" ht="15.75" customHeight="1" x14ac:dyDescent="0.25">
      <c r="A1852" s="3"/>
      <c r="B1852" s="3"/>
      <c r="C1852" s="18"/>
      <c r="D1852" s="18"/>
      <c r="E1852" s="19"/>
      <c r="F1852" s="19"/>
      <c r="G1852" s="20"/>
      <c r="H1852" s="3"/>
      <c r="I1852" s="19"/>
      <c r="J1852" s="19"/>
      <c r="K1852" s="19"/>
      <c r="L1852" s="19"/>
      <c r="M1852" s="19"/>
      <c r="N1852" s="19"/>
      <c r="O1852" s="19"/>
      <c r="P1852" s="19"/>
      <c r="Q1852" s="19"/>
      <c r="R1852" s="19"/>
      <c r="S1852" s="19"/>
      <c r="T1852" s="19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</row>
    <row r="1853" spans="1:34" ht="15.75" customHeight="1" x14ac:dyDescent="0.25">
      <c r="A1853" s="3"/>
      <c r="B1853" s="3"/>
      <c r="C1853" s="18"/>
      <c r="D1853" s="18"/>
      <c r="E1853" s="19"/>
      <c r="F1853" s="19"/>
      <c r="G1853" s="20"/>
      <c r="H1853" s="3"/>
      <c r="I1853" s="19"/>
      <c r="J1853" s="19"/>
      <c r="K1853" s="19"/>
      <c r="L1853" s="19"/>
      <c r="M1853" s="19"/>
      <c r="N1853" s="19"/>
      <c r="O1853" s="19"/>
      <c r="P1853" s="19"/>
      <c r="Q1853" s="19"/>
      <c r="R1853" s="19"/>
      <c r="S1853" s="19"/>
      <c r="T1853" s="19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</row>
    <row r="1854" spans="1:34" ht="15.75" customHeight="1" x14ac:dyDescent="0.25">
      <c r="A1854" s="3"/>
      <c r="B1854" s="3"/>
      <c r="C1854" s="18"/>
      <c r="D1854" s="18"/>
      <c r="E1854" s="19"/>
      <c r="F1854" s="19"/>
      <c r="G1854" s="20"/>
      <c r="H1854" s="3"/>
      <c r="I1854" s="19"/>
      <c r="J1854" s="19"/>
      <c r="K1854" s="19"/>
      <c r="L1854" s="19"/>
      <c r="M1854" s="19"/>
      <c r="N1854" s="19"/>
      <c r="O1854" s="19"/>
      <c r="P1854" s="19"/>
      <c r="Q1854" s="19"/>
      <c r="R1854" s="19"/>
      <c r="S1854" s="19"/>
      <c r="T1854" s="19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</row>
    <row r="1855" spans="1:34" ht="15.75" customHeight="1" x14ac:dyDescent="0.25">
      <c r="A1855" s="3"/>
      <c r="B1855" s="3"/>
      <c r="C1855" s="18"/>
      <c r="D1855" s="18"/>
      <c r="E1855" s="19"/>
      <c r="F1855" s="19"/>
      <c r="G1855" s="20"/>
      <c r="H1855" s="3"/>
      <c r="I1855" s="19"/>
      <c r="J1855" s="19"/>
      <c r="K1855" s="19"/>
      <c r="L1855" s="19"/>
      <c r="M1855" s="19"/>
      <c r="N1855" s="19"/>
      <c r="O1855" s="19"/>
      <c r="P1855" s="19"/>
      <c r="Q1855" s="19"/>
      <c r="R1855" s="19"/>
      <c r="S1855" s="19"/>
      <c r="T1855" s="19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</row>
    <row r="1856" spans="1:34" ht="15.75" customHeight="1" x14ac:dyDescent="0.25">
      <c r="A1856" s="3"/>
      <c r="B1856" s="3"/>
      <c r="C1856" s="18"/>
      <c r="D1856" s="18"/>
      <c r="E1856" s="19"/>
      <c r="F1856" s="19"/>
      <c r="G1856" s="20"/>
      <c r="H1856" s="3"/>
      <c r="I1856" s="19"/>
      <c r="J1856" s="19"/>
      <c r="K1856" s="19"/>
      <c r="L1856" s="19"/>
      <c r="M1856" s="19"/>
      <c r="N1856" s="19"/>
      <c r="O1856" s="19"/>
      <c r="P1856" s="19"/>
      <c r="Q1856" s="19"/>
      <c r="R1856" s="19"/>
      <c r="S1856" s="19"/>
      <c r="T1856" s="19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</row>
    <row r="1857" spans="1:34" ht="15.75" customHeight="1" x14ac:dyDescent="0.25">
      <c r="A1857" s="3"/>
      <c r="B1857" s="3"/>
      <c r="C1857" s="18"/>
      <c r="D1857" s="18"/>
      <c r="E1857" s="19"/>
      <c r="F1857" s="19"/>
      <c r="G1857" s="20"/>
      <c r="H1857" s="3"/>
      <c r="I1857" s="19"/>
      <c r="J1857" s="19"/>
      <c r="K1857" s="19"/>
      <c r="L1857" s="19"/>
      <c r="M1857" s="19"/>
      <c r="N1857" s="19"/>
      <c r="O1857" s="19"/>
      <c r="P1857" s="19"/>
      <c r="Q1857" s="19"/>
      <c r="R1857" s="19"/>
      <c r="S1857" s="19"/>
      <c r="T1857" s="19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</row>
    <row r="1858" spans="1:34" ht="15.75" customHeight="1" x14ac:dyDescent="0.25">
      <c r="A1858" s="3"/>
      <c r="B1858" s="3"/>
      <c r="C1858" s="18"/>
      <c r="D1858" s="18"/>
      <c r="E1858" s="19"/>
      <c r="F1858" s="19"/>
      <c r="G1858" s="20"/>
      <c r="H1858" s="3"/>
      <c r="I1858" s="19"/>
      <c r="J1858" s="19"/>
      <c r="K1858" s="19"/>
      <c r="L1858" s="19"/>
      <c r="M1858" s="19"/>
      <c r="N1858" s="19"/>
      <c r="O1858" s="19"/>
      <c r="P1858" s="19"/>
      <c r="Q1858" s="19"/>
      <c r="R1858" s="19"/>
      <c r="S1858" s="19"/>
      <c r="T1858" s="19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</row>
    <row r="1859" spans="1:34" ht="15.75" customHeight="1" x14ac:dyDescent="0.25">
      <c r="A1859" s="3"/>
      <c r="B1859" s="3"/>
      <c r="C1859" s="18"/>
      <c r="D1859" s="18"/>
      <c r="E1859" s="19"/>
      <c r="F1859" s="19"/>
      <c r="G1859" s="20"/>
      <c r="H1859" s="3"/>
      <c r="I1859" s="19"/>
      <c r="J1859" s="19"/>
      <c r="K1859" s="19"/>
      <c r="L1859" s="19"/>
      <c r="M1859" s="19"/>
      <c r="N1859" s="19"/>
      <c r="O1859" s="19"/>
      <c r="P1859" s="19"/>
      <c r="Q1859" s="19"/>
      <c r="R1859" s="19"/>
      <c r="S1859" s="19"/>
      <c r="T1859" s="19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</row>
    <row r="1860" spans="1:34" ht="15.75" customHeight="1" x14ac:dyDescent="0.25">
      <c r="A1860" s="3"/>
      <c r="B1860" s="3"/>
      <c r="C1860" s="18"/>
      <c r="D1860" s="18"/>
      <c r="E1860" s="19"/>
      <c r="F1860" s="19"/>
      <c r="G1860" s="20"/>
      <c r="H1860" s="3"/>
      <c r="I1860" s="19"/>
      <c r="J1860" s="19"/>
      <c r="K1860" s="19"/>
      <c r="L1860" s="19"/>
      <c r="M1860" s="19"/>
      <c r="N1860" s="19"/>
      <c r="O1860" s="19"/>
      <c r="P1860" s="19"/>
      <c r="Q1860" s="19"/>
      <c r="R1860" s="19"/>
      <c r="S1860" s="19"/>
      <c r="T1860" s="19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</row>
    <row r="1861" spans="1:34" ht="15.75" customHeight="1" x14ac:dyDescent="0.25">
      <c r="A1861" s="3"/>
      <c r="B1861" s="3"/>
      <c r="C1861" s="18"/>
      <c r="D1861" s="18"/>
      <c r="E1861" s="19"/>
      <c r="F1861" s="19"/>
      <c r="G1861" s="20"/>
      <c r="H1861" s="3"/>
      <c r="I1861" s="19"/>
      <c r="J1861" s="19"/>
      <c r="K1861" s="19"/>
      <c r="L1861" s="19"/>
      <c r="M1861" s="19"/>
      <c r="N1861" s="19"/>
      <c r="O1861" s="19"/>
      <c r="P1861" s="19"/>
      <c r="Q1861" s="19"/>
      <c r="R1861" s="19"/>
      <c r="S1861" s="19"/>
      <c r="T1861" s="19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</row>
    <row r="1862" spans="1:34" ht="15.75" customHeight="1" x14ac:dyDescent="0.25">
      <c r="A1862" s="3"/>
      <c r="B1862" s="3"/>
      <c r="C1862" s="18"/>
      <c r="D1862" s="18"/>
      <c r="E1862" s="19"/>
      <c r="F1862" s="19"/>
      <c r="G1862" s="20"/>
      <c r="H1862" s="3"/>
      <c r="I1862" s="19"/>
      <c r="J1862" s="19"/>
      <c r="K1862" s="19"/>
      <c r="L1862" s="19"/>
      <c r="M1862" s="19"/>
      <c r="N1862" s="19"/>
      <c r="O1862" s="19"/>
      <c r="P1862" s="19"/>
      <c r="Q1862" s="19"/>
      <c r="R1862" s="19"/>
      <c r="S1862" s="19"/>
      <c r="T1862" s="19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</row>
    <row r="1863" spans="1:34" ht="15.75" customHeight="1" x14ac:dyDescent="0.25">
      <c r="A1863" s="3"/>
      <c r="B1863" s="3"/>
      <c r="C1863" s="18"/>
      <c r="D1863" s="18"/>
      <c r="E1863" s="19"/>
      <c r="F1863" s="19"/>
      <c r="G1863" s="20"/>
      <c r="H1863" s="3"/>
      <c r="I1863" s="19"/>
      <c r="J1863" s="19"/>
      <c r="K1863" s="19"/>
      <c r="L1863" s="19"/>
      <c r="M1863" s="19"/>
      <c r="N1863" s="19"/>
      <c r="O1863" s="19"/>
      <c r="P1863" s="19"/>
      <c r="Q1863" s="19"/>
      <c r="R1863" s="19"/>
      <c r="S1863" s="19"/>
      <c r="T1863" s="19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</row>
    <row r="1864" spans="1:34" ht="15.75" customHeight="1" x14ac:dyDescent="0.25">
      <c r="A1864" s="3"/>
      <c r="B1864" s="3"/>
      <c r="C1864" s="18"/>
      <c r="D1864" s="18"/>
      <c r="E1864" s="19"/>
      <c r="F1864" s="19"/>
      <c r="G1864" s="20"/>
      <c r="H1864" s="3"/>
      <c r="I1864" s="19"/>
      <c r="J1864" s="19"/>
      <c r="K1864" s="19"/>
      <c r="L1864" s="19"/>
      <c r="M1864" s="19"/>
      <c r="N1864" s="19"/>
      <c r="O1864" s="19"/>
      <c r="P1864" s="19"/>
      <c r="Q1864" s="19"/>
      <c r="R1864" s="19"/>
      <c r="S1864" s="19"/>
      <c r="T1864" s="19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</row>
    <row r="1865" spans="1:34" ht="15.75" customHeight="1" x14ac:dyDescent="0.25">
      <c r="A1865" s="3"/>
      <c r="B1865" s="3"/>
      <c r="C1865" s="18"/>
      <c r="D1865" s="18"/>
      <c r="E1865" s="19"/>
      <c r="F1865" s="19"/>
      <c r="G1865" s="20"/>
      <c r="H1865" s="3"/>
      <c r="I1865" s="19"/>
      <c r="J1865" s="19"/>
      <c r="K1865" s="19"/>
      <c r="L1865" s="19"/>
      <c r="M1865" s="19"/>
      <c r="N1865" s="19"/>
      <c r="O1865" s="19"/>
      <c r="P1865" s="19"/>
      <c r="Q1865" s="19"/>
      <c r="R1865" s="19"/>
      <c r="S1865" s="19"/>
      <c r="T1865" s="19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</row>
    <row r="1866" spans="1:34" ht="15.75" customHeight="1" x14ac:dyDescent="0.25">
      <c r="A1866" s="3"/>
      <c r="B1866" s="3"/>
      <c r="C1866" s="18"/>
      <c r="D1866" s="18"/>
      <c r="E1866" s="19"/>
      <c r="F1866" s="19"/>
      <c r="G1866" s="20"/>
      <c r="H1866" s="3"/>
      <c r="I1866" s="19"/>
      <c r="J1866" s="19"/>
      <c r="K1866" s="19"/>
      <c r="L1866" s="19"/>
      <c r="M1866" s="19"/>
      <c r="N1866" s="19"/>
      <c r="O1866" s="19"/>
      <c r="P1866" s="19"/>
      <c r="Q1866" s="19"/>
      <c r="R1866" s="19"/>
      <c r="S1866" s="19"/>
      <c r="T1866" s="19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</row>
    <row r="1867" spans="1:34" ht="15.75" customHeight="1" x14ac:dyDescent="0.25">
      <c r="A1867" s="3"/>
      <c r="B1867" s="3"/>
      <c r="C1867" s="18"/>
      <c r="D1867" s="18"/>
      <c r="E1867" s="19"/>
      <c r="F1867" s="19"/>
      <c r="G1867" s="20"/>
      <c r="H1867" s="3"/>
      <c r="I1867" s="19"/>
      <c r="J1867" s="19"/>
      <c r="K1867" s="19"/>
      <c r="L1867" s="19"/>
      <c r="M1867" s="19"/>
      <c r="N1867" s="19"/>
      <c r="O1867" s="19"/>
      <c r="P1867" s="19"/>
      <c r="Q1867" s="19"/>
      <c r="R1867" s="19"/>
      <c r="S1867" s="19"/>
      <c r="T1867" s="19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</row>
    <row r="1868" spans="1:34" ht="15.75" customHeight="1" x14ac:dyDescent="0.25">
      <c r="A1868" s="3"/>
      <c r="B1868" s="3"/>
      <c r="C1868" s="18"/>
      <c r="D1868" s="18"/>
      <c r="E1868" s="19"/>
      <c r="F1868" s="19"/>
      <c r="G1868" s="20"/>
      <c r="H1868" s="3"/>
      <c r="I1868" s="19"/>
      <c r="J1868" s="19"/>
      <c r="K1868" s="19"/>
      <c r="L1868" s="19"/>
      <c r="M1868" s="19"/>
      <c r="N1868" s="19"/>
      <c r="O1868" s="19"/>
      <c r="P1868" s="19"/>
      <c r="Q1868" s="19"/>
      <c r="R1868" s="19"/>
      <c r="S1868" s="19"/>
      <c r="T1868" s="19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</row>
    <row r="1869" spans="1:34" ht="15.75" customHeight="1" x14ac:dyDescent="0.25">
      <c r="A1869" s="3"/>
      <c r="B1869" s="3"/>
      <c r="C1869" s="18"/>
      <c r="D1869" s="18"/>
      <c r="E1869" s="19"/>
      <c r="F1869" s="19"/>
      <c r="G1869" s="20"/>
      <c r="H1869" s="3"/>
      <c r="I1869" s="19"/>
      <c r="J1869" s="19"/>
      <c r="K1869" s="19"/>
      <c r="L1869" s="19"/>
      <c r="M1869" s="19"/>
      <c r="N1869" s="19"/>
      <c r="O1869" s="19"/>
      <c r="P1869" s="19"/>
      <c r="Q1869" s="19"/>
      <c r="R1869" s="19"/>
      <c r="S1869" s="19"/>
      <c r="T1869" s="19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</row>
    <row r="1870" spans="1:34" ht="15.75" customHeight="1" x14ac:dyDescent="0.25">
      <c r="A1870" s="3"/>
      <c r="B1870" s="3"/>
      <c r="C1870" s="18"/>
      <c r="D1870" s="18"/>
      <c r="E1870" s="19"/>
      <c r="F1870" s="19"/>
      <c r="G1870" s="20"/>
      <c r="H1870" s="3"/>
      <c r="I1870" s="19"/>
      <c r="J1870" s="19"/>
      <c r="K1870" s="19"/>
      <c r="L1870" s="19"/>
      <c r="M1870" s="19"/>
      <c r="N1870" s="19"/>
      <c r="O1870" s="19"/>
      <c r="P1870" s="19"/>
      <c r="Q1870" s="19"/>
      <c r="R1870" s="19"/>
      <c r="S1870" s="19"/>
      <c r="T1870" s="19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</row>
    <row r="1871" spans="1:34" ht="15.75" customHeight="1" x14ac:dyDescent="0.25">
      <c r="A1871" s="3"/>
      <c r="B1871" s="3"/>
      <c r="C1871" s="18"/>
      <c r="D1871" s="18"/>
      <c r="E1871" s="19"/>
      <c r="F1871" s="19"/>
      <c r="G1871" s="20"/>
      <c r="H1871" s="3"/>
      <c r="I1871" s="19"/>
      <c r="J1871" s="19"/>
      <c r="K1871" s="19"/>
      <c r="L1871" s="19"/>
      <c r="M1871" s="19"/>
      <c r="N1871" s="19"/>
      <c r="O1871" s="19"/>
      <c r="P1871" s="19"/>
      <c r="Q1871" s="19"/>
      <c r="R1871" s="19"/>
      <c r="S1871" s="19"/>
      <c r="T1871" s="19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</row>
    <row r="1872" spans="1:34" ht="15.75" customHeight="1" x14ac:dyDescent="0.25">
      <c r="A1872" s="3"/>
      <c r="B1872" s="3"/>
      <c r="C1872" s="18"/>
      <c r="D1872" s="18"/>
      <c r="E1872" s="19"/>
      <c r="F1872" s="19"/>
      <c r="G1872" s="20"/>
      <c r="H1872" s="3"/>
      <c r="I1872" s="19"/>
      <c r="J1872" s="19"/>
      <c r="K1872" s="19"/>
      <c r="L1872" s="19"/>
      <c r="M1872" s="19"/>
      <c r="N1872" s="19"/>
      <c r="O1872" s="19"/>
      <c r="P1872" s="19"/>
      <c r="Q1872" s="19"/>
      <c r="R1872" s="19"/>
      <c r="S1872" s="19"/>
      <c r="T1872" s="19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</row>
    <row r="1873" spans="1:34" ht="15.75" customHeight="1" x14ac:dyDescent="0.25">
      <c r="A1873" s="3"/>
      <c r="B1873" s="3"/>
      <c r="C1873" s="18"/>
      <c r="D1873" s="18"/>
      <c r="E1873" s="19"/>
      <c r="F1873" s="19"/>
      <c r="G1873" s="20"/>
      <c r="H1873" s="3"/>
      <c r="I1873" s="19"/>
      <c r="J1873" s="19"/>
      <c r="K1873" s="19"/>
      <c r="L1873" s="19"/>
      <c r="M1873" s="19"/>
      <c r="N1873" s="19"/>
      <c r="O1873" s="19"/>
      <c r="P1873" s="19"/>
      <c r="Q1873" s="19"/>
      <c r="R1873" s="19"/>
      <c r="S1873" s="19"/>
      <c r="T1873" s="19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</row>
    <row r="1874" spans="1:34" ht="15.75" customHeight="1" x14ac:dyDescent="0.25">
      <c r="A1874" s="3"/>
      <c r="B1874" s="3"/>
      <c r="C1874" s="18"/>
      <c r="D1874" s="18"/>
      <c r="E1874" s="19"/>
      <c r="F1874" s="19"/>
      <c r="G1874" s="20"/>
      <c r="H1874" s="3"/>
      <c r="I1874" s="19"/>
      <c r="J1874" s="19"/>
      <c r="K1874" s="19"/>
      <c r="L1874" s="19"/>
      <c r="M1874" s="19"/>
      <c r="N1874" s="19"/>
      <c r="O1874" s="19"/>
      <c r="P1874" s="19"/>
      <c r="Q1874" s="19"/>
      <c r="R1874" s="19"/>
      <c r="S1874" s="19"/>
      <c r="T1874" s="19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</row>
    <row r="1875" spans="1:34" ht="15.75" customHeight="1" x14ac:dyDescent="0.25">
      <c r="A1875" s="3"/>
      <c r="B1875" s="3"/>
      <c r="C1875" s="18"/>
      <c r="D1875" s="18"/>
      <c r="E1875" s="19"/>
      <c r="F1875" s="19"/>
      <c r="G1875" s="20"/>
      <c r="H1875" s="3"/>
      <c r="I1875" s="19"/>
      <c r="J1875" s="19"/>
      <c r="K1875" s="19"/>
      <c r="L1875" s="19"/>
      <c r="M1875" s="19"/>
      <c r="N1875" s="19"/>
      <c r="O1875" s="19"/>
      <c r="P1875" s="19"/>
      <c r="Q1875" s="19"/>
      <c r="R1875" s="19"/>
      <c r="S1875" s="19"/>
      <c r="T1875" s="19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</row>
    <row r="1876" spans="1:34" ht="15.75" customHeight="1" x14ac:dyDescent="0.25">
      <c r="A1876" s="3"/>
      <c r="B1876" s="3"/>
      <c r="C1876" s="18"/>
      <c r="D1876" s="18"/>
      <c r="E1876" s="19"/>
      <c r="F1876" s="19"/>
      <c r="G1876" s="20"/>
      <c r="H1876" s="3"/>
      <c r="I1876" s="19"/>
      <c r="J1876" s="19"/>
      <c r="K1876" s="19"/>
      <c r="L1876" s="19"/>
      <c r="M1876" s="19"/>
      <c r="N1876" s="19"/>
      <c r="O1876" s="19"/>
      <c r="P1876" s="19"/>
      <c r="Q1876" s="19"/>
      <c r="R1876" s="19"/>
      <c r="S1876" s="19"/>
      <c r="T1876" s="19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</row>
    <row r="1877" spans="1:34" ht="15.75" customHeight="1" x14ac:dyDescent="0.25">
      <c r="A1877" s="3"/>
      <c r="B1877" s="3"/>
      <c r="C1877" s="18"/>
      <c r="D1877" s="18"/>
      <c r="E1877" s="19"/>
      <c r="F1877" s="19"/>
      <c r="G1877" s="20"/>
      <c r="H1877" s="3"/>
      <c r="I1877" s="19"/>
      <c r="J1877" s="19"/>
      <c r="K1877" s="19"/>
      <c r="L1877" s="19"/>
      <c r="M1877" s="19"/>
      <c r="N1877" s="19"/>
      <c r="O1877" s="19"/>
      <c r="P1877" s="19"/>
      <c r="Q1877" s="19"/>
      <c r="R1877" s="19"/>
      <c r="S1877" s="19"/>
      <c r="T1877" s="19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</row>
    <row r="1878" spans="1:34" ht="15.75" customHeight="1" x14ac:dyDescent="0.25">
      <c r="A1878" s="3"/>
      <c r="B1878" s="3"/>
      <c r="C1878" s="18"/>
      <c r="D1878" s="18"/>
      <c r="E1878" s="19"/>
      <c r="F1878" s="19"/>
      <c r="G1878" s="20"/>
      <c r="H1878" s="3"/>
      <c r="I1878" s="19"/>
      <c r="J1878" s="19"/>
      <c r="K1878" s="19"/>
      <c r="L1878" s="19"/>
      <c r="M1878" s="19"/>
      <c r="N1878" s="19"/>
      <c r="O1878" s="19"/>
      <c r="P1878" s="19"/>
      <c r="Q1878" s="19"/>
      <c r="R1878" s="19"/>
      <c r="S1878" s="19"/>
      <c r="T1878" s="19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</row>
    <row r="1879" spans="1:34" ht="15.75" customHeight="1" x14ac:dyDescent="0.25">
      <c r="A1879" s="3"/>
      <c r="B1879" s="3"/>
      <c r="C1879" s="18"/>
      <c r="D1879" s="18"/>
      <c r="E1879" s="19"/>
      <c r="F1879" s="19"/>
      <c r="G1879" s="20"/>
      <c r="H1879" s="3"/>
      <c r="I1879" s="19"/>
      <c r="J1879" s="19"/>
      <c r="K1879" s="19"/>
      <c r="L1879" s="19"/>
      <c r="M1879" s="19"/>
      <c r="N1879" s="19"/>
      <c r="O1879" s="19"/>
      <c r="P1879" s="19"/>
      <c r="Q1879" s="19"/>
      <c r="R1879" s="19"/>
      <c r="S1879" s="19"/>
      <c r="T1879" s="19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</row>
    <row r="1880" spans="1:34" ht="15.75" customHeight="1" x14ac:dyDescent="0.25">
      <c r="A1880" s="3"/>
      <c r="B1880" s="3"/>
      <c r="C1880" s="18"/>
      <c r="D1880" s="18"/>
      <c r="E1880" s="19"/>
      <c r="F1880" s="19"/>
      <c r="G1880" s="20"/>
      <c r="H1880" s="3"/>
      <c r="I1880" s="19"/>
      <c r="J1880" s="19"/>
      <c r="K1880" s="19"/>
      <c r="L1880" s="19"/>
      <c r="M1880" s="19"/>
      <c r="N1880" s="19"/>
      <c r="O1880" s="19"/>
      <c r="P1880" s="19"/>
      <c r="Q1880" s="19"/>
      <c r="R1880" s="19"/>
      <c r="S1880" s="19"/>
      <c r="T1880" s="19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</row>
    <row r="1881" spans="1:34" ht="15.75" customHeight="1" x14ac:dyDescent="0.25">
      <c r="A1881" s="3"/>
      <c r="B1881" s="3"/>
      <c r="C1881" s="18"/>
      <c r="D1881" s="18"/>
      <c r="E1881" s="19"/>
      <c r="F1881" s="19"/>
      <c r="G1881" s="20"/>
      <c r="H1881" s="3"/>
      <c r="I1881" s="19"/>
      <c r="J1881" s="19"/>
      <c r="K1881" s="19"/>
      <c r="L1881" s="19"/>
      <c r="M1881" s="19"/>
      <c r="N1881" s="19"/>
      <c r="O1881" s="19"/>
      <c r="P1881" s="19"/>
      <c r="Q1881" s="19"/>
      <c r="R1881" s="19"/>
      <c r="S1881" s="19"/>
      <c r="T1881" s="19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</row>
    <row r="1882" spans="1:34" ht="15.75" customHeight="1" x14ac:dyDescent="0.25">
      <c r="A1882" s="3"/>
      <c r="B1882" s="3"/>
      <c r="C1882" s="18"/>
      <c r="D1882" s="18"/>
      <c r="E1882" s="19"/>
      <c r="F1882" s="19"/>
      <c r="G1882" s="20"/>
      <c r="H1882" s="3"/>
      <c r="I1882" s="19"/>
      <c r="J1882" s="19"/>
      <c r="K1882" s="19"/>
      <c r="L1882" s="19"/>
      <c r="M1882" s="19"/>
      <c r="N1882" s="19"/>
      <c r="O1882" s="19"/>
      <c r="P1882" s="19"/>
      <c r="Q1882" s="19"/>
      <c r="R1882" s="19"/>
      <c r="S1882" s="19"/>
      <c r="T1882" s="19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</row>
    <row r="1883" spans="1:34" ht="15.75" customHeight="1" x14ac:dyDescent="0.25">
      <c r="A1883" s="3"/>
      <c r="B1883" s="3"/>
      <c r="C1883" s="18"/>
      <c r="D1883" s="18"/>
      <c r="E1883" s="19"/>
      <c r="F1883" s="19"/>
      <c r="G1883" s="20"/>
      <c r="H1883" s="3"/>
      <c r="I1883" s="19"/>
      <c r="J1883" s="19"/>
      <c r="K1883" s="19"/>
      <c r="L1883" s="19"/>
      <c r="M1883" s="19"/>
      <c r="N1883" s="19"/>
      <c r="O1883" s="19"/>
      <c r="P1883" s="19"/>
      <c r="Q1883" s="19"/>
      <c r="R1883" s="19"/>
      <c r="S1883" s="19"/>
      <c r="T1883" s="19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</row>
    <row r="1884" spans="1:34" ht="15.75" customHeight="1" x14ac:dyDescent="0.25">
      <c r="A1884" s="3"/>
      <c r="B1884" s="3"/>
      <c r="C1884" s="18"/>
      <c r="D1884" s="18"/>
      <c r="E1884" s="19"/>
      <c r="F1884" s="19"/>
      <c r="G1884" s="20"/>
      <c r="H1884" s="3"/>
      <c r="I1884" s="19"/>
      <c r="J1884" s="19"/>
      <c r="K1884" s="19"/>
      <c r="L1884" s="19"/>
      <c r="M1884" s="19"/>
      <c r="N1884" s="19"/>
      <c r="O1884" s="19"/>
      <c r="P1884" s="19"/>
      <c r="Q1884" s="19"/>
      <c r="R1884" s="19"/>
      <c r="S1884" s="19"/>
      <c r="T1884" s="19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</row>
    <row r="1885" spans="1:34" ht="15.75" customHeight="1" x14ac:dyDescent="0.25">
      <c r="A1885" s="3"/>
      <c r="B1885" s="3"/>
      <c r="C1885" s="18"/>
      <c r="D1885" s="18"/>
      <c r="E1885" s="19"/>
      <c r="F1885" s="19"/>
      <c r="G1885" s="20"/>
      <c r="H1885" s="3"/>
      <c r="I1885" s="19"/>
      <c r="J1885" s="19"/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</row>
    <row r="1886" spans="1:34" ht="15.75" customHeight="1" x14ac:dyDescent="0.25">
      <c r="A1886" s="3"/>
      <c r="B1886" s="3"/>
      <c r="C1886" s="18"/>
      <c r="D1886" s="18"/>
      <c r="E1886" s="19"/>
      <c r="F1886" s="19"/>
      <c r="G1886" s="20"/>
      <c r="H1886" s="3"/>
      <c r="I1886" s="19"/>
      <c r="J1886" s="19"/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</row>
    <row r="1887" spans="1:34" ht="15.75" customHeight="1" x14ac:dyDescent="0.25">
      <c r="A1887" s="3"/>
      <c r="B1887" s="3"/>
      <c r="C1887" s="18"/>
      <c r="D1887" s="18"/>
      <c r="E1887" s="19"/>
      <c r="F1887" s="19"/>
      <c r="G1887" s="20"/>
      <c r="H1887" s="3"/>
      <c r="I1887" s="19"/>
      <c r="J1887" s="19"/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</row>
    <row r="1888" spans="1:34" ht="15.75" customHeight="1" x14ac:dyDescent="0.25">
      <c r="A1888" s="3"/>
      <c r="B1888" s="3"/>
      <c r="C1888" s="18"/>
      <c r="D1888" s="18"/>
      <c r="E1888" s="19"/>
      <c r="F1888" s="19"/>
      <c r="G1888" s="20"/>
      <c r="H1888" s="3"/>
      <c r="I1888" s="19"/>
      <c r="J1888" s="19"/>
      <c r="K1888" s="19"/>
      <c r="L1888" s="19"/>
      <c r="M1888" s="19"/>
      <c r="N1888" s="19"/>
      <c r="O1888" s="19"/>
      <c r="P1888" s="19"/>
      <c r="Q1888" s="19"/>
      <c r="R1888" s="19"/>
      <c r="S1888" s="19"/>
      <c r="T1888" s="19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</row>
    <row r="1889" spans="1:34" ht="15.75" customHeight="1" x14ac:dyDescent="0.25">
      <c r="A1889" s="3"/>
      <c r="B1889" s="3"/>
      <c r="C1889" s="18"/>
      <c r="D1889" s="18"/>
      <c r="E1889" s="19"/>
      <c r="F1889" s="19"/>
      <c r="G1889" s="20"/>
      <c r="H1889" s="3"/>
      <c r="I1889" s="19"/>
      <c r="J1889" s="19"/>
      <c r="K1889" s="19"/>
      <c r="L1889" s="19"/>
      <c r="M1889" s="19"/>
      <c r="N1889" s="19"/>
      <c r="O1889" s="19"/>
      <c r="P1889" s="19"/>
      <c r="Q1889" s="19"/>
      <c r="R1889" s="19"/>
      <c r="S1889" s="19"/>
      <c r="T1889" s="19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</row>
    <row r="1890" spans="1:34" ht="15.75" customHeight="1" x14ac:dyDescent="0.25">
      <c r="A1890" s="3"/>
      <c r="B1890" s="3"/>
      <c r="C1890" s="18"/>
      <c r="D1890" s="18"/>
      <c r="E1890" s="19"/>
      <c r="F1890" s="19"/>
      <c r="G1890" s="20"/>
      <c r="H1890" s="3"/>
      <c r="I1890" s="19"/>
      <c r="J1890" s="19"/>
      <c r="K1890" s="19"/>
      <c r="L1890" s="19"/>
      <c r="M1890" s="19"/>
      <c r="N1890" s="19"/>
      <c r="O1890" s="19"/>
      <c r="P1890" s="19"/>
      <c r="Q1890" s="19"/>
      <c r="R1890" s="19"/>
      <c r="S1890" s="19"/>
      <c r="T1890" s="19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</row>
    <row r="1891" spans="1:34" ht="15.75" customHeight="1" x14ac:dyDescent="0.25">
      <c r="A1891" s="3"/>
      <c r="B1891" s="3"/>
      <c r="C1891" s="18"/>
      <c r="D1891" s="18"/>
      <c r="E1891" s="19"/>
      <c r="F1891" s="19"/>
      <c r="G1891" s="20"/>
      <c r="H1891" s="3"/>
      <c r="I1891" s="19"/>
      <c r="J1891" s="19"/>
      <c r="K1891" s="19"/>
      <c r="L1891" s="19"/>
      <c r="M1891" s="19"/>
      <c r="N1891" s="19"/>
      <c r="O1891" s="19"/>
      <c r="P1891" s="19"/>
      <c r="Q1891" s="19"/>
      <c r="R1891" s="19"/>
      <c r="S1891" s="19"/>
      <c r="T1891" s="19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</row>
    <row r="1892" spans="1:34" ht="15.75" customHeight="1" x14ac:dyDescent="0.25">
      <c r="A1892" s="3"/>
      <c r="B1892" s="3"/>
      <c r="C1892" s="18"/>
      <c r="D1892" s="18"/>
      <c r="E1892" s="19"/>
      <c r="F1892" s="19"/>
      <c r="G1892" s="20"/>
      <c r="H1892" s="3"/>
      <c r="I1892" s="19"/>
      <c r="J1892" s="19"/>
      <c r="K1892" s="19"/>
      <c r="L1892" s="19"/>
      <c r="M1892" s="19"/>
      <c r="N1892" s="19"/>
      <c r="O1892" s="19"/>
      <c r="P1892" s="19"/>
      <c r="Q1892" s="19"/>
      <c r="R1892" s="19"/>
      <c r="S1892" s="19"/>
      <c r="T1892" s="19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</row>
    <row r="1893" spans="1:34" ht="15.75" customHeight="1" x14ac:dyDescent="0.25">
      <c r="A1893" s="3"/>
      <c r="B1893" s="3"/>
      <c r="C1893" s="18"/>
      <c r="D1893" s="18"/>
      <c r="E1893" s="19"/>
      <c r="F1893" s="19"/>
      <c r="G1893" s="20"/>
      <c r="H1893" s="3"/>
      <c r="I1893" s="19"/>
      <c r="J1893" s="19"/>
      <c r="K1893" s="19"/>
      <c r="L1893" s="19"/>
      <c r="M1893" s="19"/>
      <c r="N1893" s="19"/>
      <c r="O1893" s="19"/>
      <c r="P1893" s="19"/>
      <c r="Q1893" s="19"/>
      <c r="R1893" s="19"/>
      <c r="S1893" s="19"/>
      <c r="T1893" s="19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</row>
    <row r="1894" spans="1:34" ht="15.75" customHeight="1" x14ac:dyDescent="0.25">
      <c r="A1894" s="3"/>
      <c r="B1894" s="3"/>
      <c r="C1894" s="18"/>
      <c r="D1894" s="18"/>
      <c r="E1894" s="19"/>
      <c r="F1894" s="19"/>
      <c r="G1894" s="20"/>
      <c r="H1894" s="3"/>
      <c r="I1894" s="19"/>
      <c r="J1894" s="19"/>
      <c r="K1894" s="19"/>
      <c r="L1894" s="19"/>
      <c r="M1894" s="19"/>
      <c r="N1894" s="19"/>
      <c r="O1894" s="19"/>
      <c r="P1894" s="19"/>
      <c r="Q1894" s="19"/>
      <c r="R1894" s="19"/>
      <c r="S1894" s="19"/>
      <c r="T1894" s="19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</row>
    <row r="1895" spans="1:34" ht="15.75" customHeight="1" x14ac:dyDescent="0.25">
      <c r="A1895" s="3"/>
      <c r="B1895" s="3"/>
      <c r="C1895" s="18"/>
      <c r="D1895" s="18"/>
      <c r="E1895" s="19"/>
      <c r="F1895" s="19"/>
      <c r="G1895" s="20"/>
      <c r="H1895" s="3"/>
      <c r="I1895" s="19"/>
      <c r="J1895" s="19"/>
      <c r="K1895" s="19"/>
      <c r="L1895" s="19"/>
      <c r="M1895" s="19"/>
      <c r="N1895" s="19"/>
      <c r="O1895" s="19"/>
      <c r="P1895" s="19"/>
      <c r="Q1895" s="19"/>
      <c r="R1895" s="19"/>
      <c r="S1895" s="19"/>
      <c r="T1895" s="19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</row>
    <row r="1896" spans="1:34" ht="15.75" customHeight="1" x14ac:dyDescent="0.25">
      <c r="A1896" s="3"/>
      <c r="B1896" s="3"/>
      <c r="C1896" s="18"/>
      <c r="D1896" s="18"/>
      <c r="E1896" s="19"/>
      <c r="F1896" s="19"/>
      <c r="G1896" s="20"/>
      <c r="H1896" s="3"/>
      <c r="I1896" s="19"/>
      <c r="J1896" s="19"/>
      <c r="K1896" s="19"/>
      <c r="L1896" s="19"/>
      <c r="M1896" s="19"/>
      <c r="N1896" s="19"/>
      <c r="O1896" s="19"/>
      <c r="P1896" s="19"/>
      <c r="Q1896" s="19"/>
      <c r="R1896" s="19"/>
      <c r="S1896" s="19"/>
      <c r="T1896" s="19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</row>
    <row r="1897" spans="1:34" ht="15.75" customHeight="1" x14ac:dyDescent="0.25">
      <c r="A1897" s="3"/>
      <c r="B1897" s="3"/>
      <c r="C1897" s="18"/>
      <c r="D1897" s="18"/>
      <c r="E1897" s="19"/>
      <c r="F1897" s="19"/>
      <c r="G1897" s="20"/>
      <c r="H1897" s="3"/>
      <c r="I1897" s="19"/>
      <c r="J1897" s="19"/>
      <c r="K1897" s="19"/>
      <c r="L1897" s="19"/>
      <c r="M1897" s="19"/>
      <c r="N1897" s="19"/>
      <c r="O1897" s="19"/>
      <c r="P1897" s="19"/>
      <c r="Q1897" s="19"/>
      <c r="R1897" s="19"/>
      <c r="S1897" s="19"/>
      <c r="T1897" s="19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</row>
    <row r="1898" spans="1:34" ht="15.75" customHeight="1" x14ac:dyDescent="0.25">
      <c r="A1898" s="3"/>
      <c r="B1898" s="3"/>
      <c r="C1898" s="18"/>
      <c r="D1898" s="18"/>
      <c r="E1898" s="19"/>
      <c r="F1898" s="19"/>
      <c r="G1898" s="20"/>
      <c r="H1898" s="3"/>
      <c r="I1898" s="19"/>
      <c r="J1898" s="19"/>
      <c r="K1898" s="19"/>
      <c r="L1898" s="19"/>
      <c r="M1898" s="19"/>
      <c r="N1898" s="19"/>
      <c r="O1898" s="19"/>
      <c r="P1898" s="19"/>
      <c r="Q1898" s="19"/>
      <c r="R1898" s="19"/>
      <c r="S1898" s="19"/>
      <c r="T1898" s="19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</row>
    <row r="1899" spans="1:34" ht="15.75" customHeight="1" x14ac:dyDescent="0.25">
      <c r="A1899" s="3"/>
      <c r="B1899" s="3"/>
      <c r="C1899" s="18"/>
      <c r="D1899" s="18"/>
      <c r="E1899" s="19"/>
      <c r="F1899" s="19"/>
      <c r="G1899" s="20"/>
      <c r="H1899" s="3"/>
      <c r="I1899" s="19"/>
      <c r="J1899" s="19"/>
      <c r="K1899" s="19"/>
      <c r="L1899" s="19"/>
      <c r="M1899" s="19"/>
      <c r="N1899" s="19"/>
      <c r="O1899" s="19"/>
      <c r="P1899" s="19"/>
      <c r="Q1899" s="19"/>
      <c r="R1899" s="19"/>
      <c r="S1899" s="19"/>
      <c r="T1899" s="19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</row>
    <row r="1900" spans="1:34" ht="15.75" customHeight="1" x14ac:dyDescent="0.25">
      <c r="A1900" s="3"/>
      <c r="B1900" s="3"/>
      <c r="C1900" s="18"/>
      <c r="D1900" s="18"/>
      <c r="E1900" s="19"/>
      <c r="F1900" s="19"/>
      <c r="G1900" s="20"/>
      <c r="H1900" s="3"/>
      <c r="I1900" s="19"/>
      <c r="J1900" s="19"/>
      <c r="K1900" s="19"/>
      <c r="L1900" s="19"/>
      <c r="M1900" s="19"/>
      <c r="N1900" s="19"/>
      <c r="O1900" s="19"/>
      <c r="P1900" s="19"/>
      <c r="Q1900" s="19"/>
      <c r="R1900" s="19"/>
      <c r="S1900" s="19"/>
      <c r="T1900" s="19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</row>
    <row r="1901" spans="1:34" ht="15.75" customHeight="1" x14ac:dyDescent="0.25">
      <c r="A1901" s="3"/>
      <c r="B1901" s="3"/>
      <c r="C1901" s="18"/>
      <c r="D1901" s="18"/>
      <c r="E1901" s="19"/>
      <c r="F1901" s="19"/>
      <c r="G1901" s="20"/>
      <c r="H1901" s="3"/>
      <c r="I1901" s="19"/>
      <c r="J1901" s="19"/>
      <c r="K1901" s="19"/>
      <c r="L1901" s="19"/>
      <c r="M1901" s="19"/>
      <c r="N1901" s="19"/>
      <c r="O1901" s="19"/>
      <c r="P1901" s="19"/>
      <c r="Q1901" s="19"/>
      <c r="R1901" s="19"/>
      <c r="S1901" s="19"/>
      <c r="T1901" s="19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</row>
    <row r="1902" spans="1:34" ht="15.75" customHeight="1" x14ac:dyDescent="0.25">
      <c r="A1902" s="3"/>
      <c r="B1902" s="3"/>
      <c r="C1902" s="18"/>
      <c r="D1902" s="18"/>
      <c r="E1902" s="19"/>
      <c r="F1902" s="19"/>
      <c r="G1902" s="20"/>
      <c r="H1902" s="3"/>
      <c r="I1902" s="19"/>
      <c r="J1902" s="19"/>
      <c r="K1902" s="19"/>
      <c r="L1902" s="19"/>
      <c r="M1902" s="19"/>
      <c r="N1902" s="19"/>
      <c r="O1902" s="19"/>
      <c r="P1902" s="19"/>
      <c r="Q1902" s="19"/>
      <c r="R1902" s="19"/>
      <c r="S1902" s="19"/>
      <c r="T1902" s="19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</row>
    <row r="1903" spans="1:34" ht="15.75" customHeight="1" x14ac:dyDescent="0.25">
      <c r="A1903" s="3"/>
      <c r="B1903" s="3"/>
      <c r="C1903" s="18"/>
      <c r="D1903" s="18"/>
      <c r="E1903" s="19"/>
      <c r="F1903" s="19"/>
      <c r="G1903" s="20"/>
      <c r="H1903" s="3"/>
      <c r="I1903" s="19"/>
      <c r="J1903" s="19"/>
      <c r="K1903" s="19"/>
      <c r="L1903" s="19"/>
      <c r="M1903" s="19"/>
      <c r="N1903" s="19"/>
      <c r="O1903" s="19"/>
      <c r="P1903" s="19"/>
      <c r="Q1903" s="19"/>
      <c r="R1903" s="19"/>
      <c r="S1903" s="19"/>
      <c r="T1903" s="19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</row>
    <row r="1904" spans="1:34" ht="15.75" customHeight="1" x14ac:dyDescent="0.25">
      <c r="A1904" s="3"/>
      <c r="B1904" s="3"/>
      <c r="C1904" s="18"/>
      <c r="D1904" s="18"/>
      <c r="E1904" s="19"/>
      <c r="F1904" s="19"/>
      <c r="G1904" s="20"/>
      <c r="H1904" s="3"/>
      <c r="I1904" s="19"/>
      <c r="J1904" s="19"/>
      <c r="K1904" s="19"/>
      <c r="L1904" s="19"/>
      <c r="M1904" s="19"/>
      <c r="N1904" s="19"/>
      <c r="O1904" s="19"/>
      <c r="P1904" s="19"/>
      <c r="Q1904" s="19"/>
      <c r="R1904" s="19"/>
      <c r="S1904" s="19"/>
      <c r="T1904" s="19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</row>
    <row r="1905" spans="1:34" ht="15.75" customHeight="1" x14ac:dyDescent="0.25">
      <c r="A1905" s="3"/>
      <c r="B1905" s="3"/>
      <c r="C1905" s="18"/>
      <c r="D1905" s="18"/>
      <c r="E1905" s="19"/>
      <c r="F1905" s="19"/>
      <c r="G1905" s="20"/>
      <c r="H1905" s="3"/>
      <c r="I1905" s="19"/>
      <c r="J1905" s="19"/>
      <c r="K1905" s="19"/>
      <c r="L1905" s="19"/>
      <c r="M1905" s="19"/>
      <c r="N1905" s="19"/>
      <c r="O1905" s="19"/>
      <c r="P1905" s="19"/>
      <c r="Q1905" s="19"/>
      <c r="R1905" s="19"/>
      <c r="S1905" s="19"/>
      <c r="T1905" s="19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</row>
    <row r="1906" spans="1:34" ht="15.75" customHeight="1" x14ac:dyDescent="0.25">
      <c r="A1906" s="3"/>
      <c r="B1906" s="3"/>
      <c r="C1906" s="18"/>
      <c r="D1906" s="18"/>
      <c r="E1906" s="19"/>
      <c r="F1906" s="19"/>
      <c r="G1906" s="20"/>
      <c r="H1906" s="3"/>
      <c r="I1906" s="19"/>
      <c r="J1906" s="19"/>
      <c r="K1906" s="19"/>
      <c r="L1906" s="19"/>
      <c r="M1906" s="19"/>
      <c r="N1906" s="19"/>
      <c r="O1906" s="19"/>
      <c r="P1906" s="19"/>
      <c r="Q1906" s="19"/>
      <c r="R1906" s="19"/>
      <c r="S1906" s="19"/>
      <c r="T1906" s="19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</row>
    <row r="1907" spans="1:34" ht="15.75" customHeight="1" x14ac:dyDescent="0.25">
      <c r="A1907" s="3"/>
      <c r="B1907" s="3"/>
      <c r="C1907" s="18"/>
      <c r="D1907" s="18"/>
      <c r="E1907" s="19"/>
      <c r="F1907" s="19"/>
      <c r="G1907" s="20"/>
      <c r="H1907" s="3"/>
      <c r="I1907" s="19"/>
      <c r="J1907" s="19"/>
      <c r="K1907" s="19"/>
      <c r="L1907" s="19"/>
      <c r="M1907" s="19"/>
      <c r="N1907" s="19"/>
      <c r="O1907" s="19"/>
      <c r="P1907" s="19"/>
      <c r="Q1907" s="19"/>
      <c r="R1907" s="19"/>
      <c r="S1907" s="19"/>
      <c r="T1907" s="19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</row>
    <row r="1908" spans="1:34" ht="15.75" customHeight="1" x14ac:dyDescent="0.25">
      <c r="A1908" s="3"/>
      <c r="B1908" s="3"/>
      <c r="C1908" s="18"/>
      <c r="D1908" s="18"/>
      <c r="E1908" s="19"/>
      <c r="F1908" s="19"/>
      <c r="G1908" s="20"/>
      <c r="H1908" s="3"/>
      <c r="I1908" s="19"/>
      <c r="J1908" s="19"/>
      <c r="K1908" s="19"/>
      <c r="L1908" s="19"/>
      <c r="M1908" s="19"/>
      <c r="N1908" s="19"/>
      <c r="O1908" s="19"/>
      <c r="P1908" s="19"/>
      <c r="Q1908" s="19"/>
      <c r="R1908" s="19"/>
      <c r="S1908" s="19"/>
      <c r="T1908" s="19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</row>
    <row r="1909" spans="1:34" ht="15.75" customHeight="1" x14ac:dyDescent="0.25">
      <c r="A1909" s="3"/>
      <c r="B1909" s="3"/>
      <c r="C1909" s="18"/>
      <c r="D1909" s="18"/>
      <c r="E1909" s="19"/>
      <c r="F1909" s="19"/>
      <c r="G1909" s="20"/>
      <c r="H1909" s="3"/>
      <c r="I1909" s="19"/>
      <c r="J1909" s="19"/>
      <c r="K1909" s="19"/>
      <c r="L1909" s="19"/>
      <c r="M1909" s="19"/>
      <c r="N1909" s="19"/>
      <c r="O1909" s="19"/>
      <c r="P1909" s="19"/>
      <c r="Q1909" s="19"/>
      <c r="R1909" s="19"/>
      <c r="S1909" s="19"/>
      <c r="T1909" s="19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</row>
    <row r="1910" spans="1:34" ht="15.75" customHeight="1" x14ac:dyDescent="0.25">
      <c r="A1910" s="3"/>
      <c r="B1910" s="3"/>
      <c r="C1910" s="18"/>
      <c r="D1910" s="18"/>
      <c r="E1910" s="19"/>
      <c r="F1910" s="19"/>
      <c r="G1910" s="20"/>
      <c r="H1910" s="3"/>
      <c r="I1910" s="19"/>
      <c r="J1910" s="19"/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</row>
    <row r="1911" spans="1:34" ht="15.75" customHeight="1" x14ac:dyDescent="0.25">
      <c r="A1911" s="3"/>
      <c r="B1911" s="3"/>
      <c r="C1911" s="18"/>
      <c r="D1911" s="18"/>
      <c r="E1911" s="19"/>
      <c r="F1911" s="19"/>
      <c r="G1911" s="20"/>
      <c r="H1911" s="3"/>
      <c r="I1911" s="19"/>
      <c r="J1911" s="19"/>
      <c r="K1911" s="19"/>
      <c r="L1911" s="19"/>
      <c r="M1911" s="19"/>
      <c r="N1911" s="19"/>
      <c r="O1911" s="19"/>
      <c r="P1911" s="19"/>
      <c r="Q1911" s="19"/>
      <c r="R1911" s="19"/>
      <c r="S1911" s="19"/>
      <c r="T1911" s="19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</row>
    <row r="1912" spans="1:34" ht="15.75" customHeight="1" x14ac:dyDescent="0.25">
      <c r="A1912" s="3"/>
      <c r="B1912" s="3"/>
      <c r="C1912" s="18"/>
      <c r="D1912" s="18"/>
      <c r="E1912" s="19"/>
      <c r="F1912" s="19"/>
      <c r="G1912" s="20"/>
      <c r="H1912" s="3"/>
      <c r="I1912" s="19"/>
      <c r="J1912" s="19"/>
      <c r="K1912" s="19"/>
      <c r="L1912" s="19"/>
      <c r="M1912" s="19"/>
      <c r="N1912" s="19"/>
      <c r="O1912" s="19"/>
      <c r="P1912" s="19"/>
      <c r="Q1912" s="19"/>
      <c r="R1912" s="19"/>
      <c r="S1912" s="19"/>
      <c r="T1912" s="19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</row>
    <row r="1913" spans="1:34" ht="15.75" customHeight="1" x14ac:dyDescent="0.25">
      <c r="A1913" s="3"/>
      <c r="B1913" s="3"/>
      <c r="C1913" s="18"/>
      <c r="D1913" s="18"/>
      <c r="E1913" s="19"/>
      <c r="F1913" s="19"/>
      <c r="G1913" s="20"/>
      <c r="H1913" s="3"/>
      <c r="I1913" s="19"/>
      <c r="J1913" s="19"/>
      <c r="K1913" s="19"/>
      <c r="L1913" s="19"/>
      <c r="M1913" s="19"/>
      <c r="N1913" s="19"/>
      <c r="O1913" s="19"/>
      <c r="P1913" s="19"/>
      <c r="Q1913" s="19"/>
      <c r="R1913" s="19"/>
      <c r="S1913" s="19"/>
      <c r="T1913" s="19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</row>
    <row r="1914" spans="1:34" ht="15.75" customHeight="1" x14ac:dyDescent="0.25">
      <c r="A1914" s="3"/>
      <c r="B1914" s="3"/>
      <c r="C1914" s="18"/>
      <c r="D1914" s="18"/>
      <c r="E1914" s="19"/>
      <c r="F1914" s="19"/>
      <c r="G1914" s="20"/>
      <c r="H1914" s="3"/>
      <c r="I1914" s="19"/>
      <c r="J1914" s="19"/>
      <c r="K1914" s="19"/>
      <c r="L1914" s="19"/>
      <c r="M1914" s="19"/>
      <c r="N1914" s="19"/>
      <c r="O1914" s="19"/>
      <c r="P1914" s="19"/>
      <c r="Q1914" s="19"/>
      <c r="R1914" s="19"/>
      <c r="S1914" s="19"/>
      <c r="T1914" s="19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</row>
    <row r="1915" spans="1:34" ht="15.75" customHeight="1" x14ac:dyDescent="0.25">
      <c r="A1915" s="3"/>
      <c r="B1915" s="3"/>
      <c r="C1915" s="18"/>
      <c r="D1915" s="18"/>
      <c r="E1915" s="19"/>
      <c r="F1915" s="19"/>
      <c r="G1915" s="20"/>
      <c r="H1915" s="3"/>
      <c r="I1915" s="19"/>
      <c r="J1915" s="19"/>
      <c r="K1915" s="19"/>
      <c r="L1915" s="19"/>
      <c r="M1915" s="19"/>
      <c r="N1915" s="19"/>
      <c r="O1915" s="19"/>
      <c r="P1915" s="19"/>
      <c r="Q1915" s="19"/>
      <c r="R1915" s="19"/>
      <c r="S1915" s="19"/>
      <c r="T1915" s="19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</row>
    <row r="1916" spans="1:34" ht="15.75" customHeight="1" x14ac:dyDescent="0.25">
      <c r="A1916" s="3"/>
      <c r="B1916" s="3"/>
      <c r="C1916" s="18"/>
      <c r="D1916" s="18"/>
      <c r="E1916" s="19"/>
      <c r="F1916" s="19"/>
      <c r="G1916" s="20"/>
      <c r="H1916" s="3"/>
      <c r="I1916" s="19"/>
      <c r="J1916" s="19"/>
      <c r="K1916" s="19"/>
      <c r="L1916" s="19"/>
      <c r="M1916" s="19"/>
      <c r="N1916" s="19"/>
      <c r="O1916" s="19"/>
      <c r="P1916" s="19"/>
      <c r="Q1916" s="19"/>
      <c r="R1916" s="19"/>
      <c r="S1916" s="19"/>
      <c r="T1916" s="19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</row>
    <row r="1917" spans="1:34" ht="15.75" customHeight="1" x14ac:dyDescent="0.25">
      <c r="A1917" s="3"/>
      <c r="B1917" s="3"/>
      <c r="C1917" s="18"/>
      <c r="D1917" s="18"/>
      <c r="E1917" s="19"/>
      <c r="F1917" s="19"/>
      <c r="G1917" s="20"/>
      <c r="H1917" s="3"/>
      <c r="I1917" s="19"/>
      <c r="J1917" s="19"/>
      <c r="K1917" s="19"/>
      <c r="L1917" s="19"/>
      <c r="M1917" s="19"/>
      <c r="N1917" s="19"/>
      <c r="O1917" s="19"/>
      <c r="P1917" s="19"/>
      <c r="Q1917" s="19"/>
      <c r="R1917" s="19"/>
      <c r="S1917" s="19"/>
      <c r="T1917" s="19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</row>
    <row r="1918" spans="1:34" ht="15.75" customHeight="1" x14ac:dyDescent="0.25">
      <c r="A1918" s="3"/>
      <c r="B1918" s="3"/>
      <c r="C1918" s="18"/>
      <c r="D1918" s="18"/>
      <c r="E1918" s="19"/>
      <c r="F1918" s="19"/>
      <c r="G1918" s="20"/>
      <c r="H1918" s="3"/>
      <c r="I1918" s="19"/>
      <c r="J1918" s="19"/>
      <c r="K1918" s="19"/>
      <c r="L1918" s="19"/>
      <c r="M1918" s="19"/>
      <c r="N1918" s="19"/>
      <c r="O1918" s="19"/>
      <c r="P1918" s="19"/>
      <c r="Q1918" s="19"/>
      <c r="R1918" s="19"/>
      <c r="S1918" s="19"/>
      <c r="T1918" s="19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</row>
    <row r="1919" spans="1:34" ht="15.75" customHeight="1" x14ac:dyDescent="0.25">
      <c r="A1919" s="3"/>
      <c r="B1919" s="3"/>
      <c r="C1919" s="18"/>
      <c r="D1919" s="18"/>
      <c r="E1919" s="19"/>
      <c r="F1919" s="19"/>
      <c r="G1919" s="20"/>
      <c r="H1919" s="3"/>
      <c r="I1919" s="19"/>
      <c r="J1919" s="19"/>
      <c r="K1919" s="19"/>
      <c r="L1919" s="19"/>
      <c r="M1919" s="19"/>
      <c r="N1919" s="19"/>
      <c r="O1919" s="19"/>
      <c r="P1919" s="19"/>
      <c r="Q1919" s="19"/>
      <c r="R1919" s="19"/>
      <c r="S1919" s="19"/>
      <c r="T1919" s="19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</row>
    <row r="1920" spans="1:34" ht="15.75" customHeight="1" x14ac:dyDescent="0.25">
      <c r="A1920" s="3"/>
      <c r="B1920" s="3"/>
      <c r="C1920" s="18"/>
      <c r="D1920" s="18"/>
      <c r="E1920" s="19"/>
      <c r="F1920" s="19"/>
      <c r="G1920" s="20"/>
      <c r="H1920" s="3"/>
      <c r="I1920" s="19"/>
      <c r="J1920" s="19"/>
      <c r="K1920" s="19"/>
      <c r="L1920" s="19"/>
      <c r="M1920" s="19"/>
      <c r="N1920" s="19"/>
      <c r="O1920" s="19"/>
      <c r="P1920" s="19"/>
      <c r="Q1920" s="19"/>
      <c r="R1920" s="19"/>
      <c r="S1920" s="19"/>
      <c r="T1920" s="19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</row>
    <row r="1921" spans="1:34" ht="15.75" customHeight="1" x14ac:dyDescent="0.25">
      <c r="A1921" s="3"/>
      <c r="B1921" s="3"/>
      <c r="C1921" s="18"/>
      <c r="D1921" s="18"/>
      <c r="E1921" s="19"/>
      <c r="F1921" s="19"/>
      <c r="G1921" s="20"/>
      <c r="H1921" s="3"/>
      <c r="I1921" s="19"/>
      <c r="J1921" s="19"/>
      <c r="K1921" s="19"/>
      <c r="L1921" s="19"/>
      <c r="M1921" s="19"/>
      <c r="N1921" s="19"/>
      <c r="O1921" s="19"/>
      <c r="P1921" s="19"/>
      <c r="Q1921" s="19"/>
      <c r="R1921" s="19"/>
      <c r="S1921" s="19"/>
      <c r="T1921" s="19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</row>
    <row r="1922" spans="1:34" ht="15.75" customHeight="1" x14ac:dyDescent="0.25">
      <c r="A1922" s="3"/>
      <c r="B1922" s="3"/>
      <c r="C1922" s="18"/>
      <c r="D1922" s="18"/>
      <c r="E1922" s="19"/>
      <c r="F1922" s="19"/>
      <c r="G1922" s="20"/>
      <c r="H1922" s="3"/>
      <c r="I1922" s="19"/>
      <c r="J1922" s="19"/>
      <c r="K1922" s="19"/>
      <c r="L1922" s="19"/>
      <c r="M1922" s="19"/>
      <c r="N1922" s="19"/>
      <c r="O1922" s="19"/>
      <c r="P1922" s="19"/>
      <c r="Q1922" s="19"/>
      <c r="R1922" s="19"/>
      <c r="S1922" s="19"/>
      <c r="T1922" s="19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</row>
    <row r="1923" spans="1:34" ht="15.75" customHeight="1" x14ac:dyDescent="0.25">
      <c r="A1923" s="3"/>
      <c r="B1923" s="3"/>
      <c r="C1923" s="18"/>
      <c r="D1923" s="18"/>
      <c r="E1923" s="19"/>
      <c r="F1923" s="19"/>
      <c r="G1923" s="20"/>
      <c r="H1923" s="3"/>
      <c r="I1923" s="19"/>
      <c r="J1923" s="19"/>
      <c r="K1923" s="19"/>
      <c r="L1923" s="19"/>
      <c r="M1923" s="19"/>
      <c r="N1923" s="19"/>
      <c r="O1923" s="19"/>
      <c r="P1923" s="19"/>
      <c r="Q1923" s="19"/>
      <c r="R1923" s="19"/>
      <c r="S1923" s="19"/>
      <c r="T1923" s="19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</row>
    <row r="1924" spans="1:34" ht="15.75" customHeight="1" x14ac:dyDescent="0.25">
      <c r="A1924" s="3"/>
      <c r="B1924" s="3"/>
      <c r="C1924" s="18"/>
      <c r="D1924" s="18"/>
      <c r="E1924" s="19"/>
      <c r="F1924" s="19"/>
      <c r="G1924" s="20"/>
      <c r="H1924" s="3"/>
      <c r="I1924" s="19"/>
      <c r="J1924" s="19"/>
      <c r="K1924" s="19"/>
      <c r="L1924" s="19"/>
      <c r="M1924" s="19"/>
      <c r="N1924" s="19"/>
      <c r="O1924" s="19"/>
      <c r="P1924" s="19"/>
      <c r="Q1924" s="19"/>
      <c r="R1924" s="19"/>
      <c r="S1924" s="19"/>
      <c r="T1924" s="19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</row>
    <row r="1925" spans="1:34" ht="15.75" customHeight="1" x14ac:dyDescent="0.25">
      <c r="A1925" s="3"/>
      <c r="B1925" s="3"/>
      <c r="C1925" s="18"/>
      <c r="D1925" s="18"/>
      <c r="E1925" s="19"/>
      <c r="F1925" s="19"/>
      <c r="G1925" s="20"/>
      <c r="H1925" s="3"/>
      <c r="I1925" s="19"/>
      <c r="J1925" s="19"/>
      <c r="K1925" s="19"/>
      <c r="L1925" s="19"/>
      <c r="M1925" s="19"/>
      <c r="N1925" s="19"/>
      <c r="O1925" s="19"/>
      <c r="P1925" s="19"/>
      <c r="Q1925" s="19"/>
      <c r="R1925" s="19"/>
      <c r="S1925" s="19"/>
      <c r="T1925" s="19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</row>
    <row r="1926" spans="1:34" ht="15.75" customHeight="1" x14ac:dyDescent="0.25">
      <c r="A1926" s="3"/>
      <c r="B1926" s="3"/>
      <c r="C1926" s="18"/>
      <c r="D1926" s="18"/>
      <c r="E1926" s="19"/>
      <c r="F1926" s="19"/>
      <c r="G1926" s="20"/>
      <c r="H1926" s="3"/>
      <c r="I1926" s="19"/>
      <c r="J1926" s="19"/>
      <c r="K1926" s="19"/>
      <c r="L1926" s="19"/>
      <c r="M1926" s="19"/>
      <c r="N1926" s="19"/>
      <c r="O1926" s="19"/>
      <c r="P1926" s="19"/>
      <c r="Q1926" s="19"/>
      <c r="R1926" s="19"/>
      <c r="S1926" s="19"/>
      <c r="T1926" s="19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</row>
    <row r="1927" spans="1:34" ht="15.75" customHeight="1" x14ac:dyDescent="0.25">
      <c r="A1927" s="3"/>
      <c r="B1927" s="3"/>
      <c r="C1927" s="18"/>
      <c r="D1927" s="18"/>
      <c r="E1927" s="19"/>
      <c r="F1927" s="19"/>
      <c r="G1927" s="20"/>
      <c r="H1927" s="3"/>
      <c r="I1927" s="19"/>
      <c r="J1927" s="19"/>
      <c r="K1927" s="19"/>
      <c r="L1927" s="19"/>
      <c r="M1927" s="19"/>
      <c r="N1927" s="19"/>
      <c r="O1927" s="19"/>
      <c r="P1927" s="19"/>
      <c r="Q1927" s="19"/>
      <c r="R1927" s="19"/>
      <c r="S1927" s="19"/>
      <c r="T1927" s="19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</row>
    <row r="1928" spans="1:34" ht="15.75" customHeight="1" x14ac:dyDescent="0.25">
      <c r="A1928" s="3"/>
      <c r="B1928" s="3"/>
      <c r="C1928" s="18"/>
      <c r="D1928" s="18"/>
      <c r="E1928" s="19"/>
      <c r="F1928" s="19"/>
      <c r="G1928" s="20"/>
      <c r="H1928" s="3"/>
      <c r="I1928" s="19"/>
      <c r="J1928" s="19"/>
      <c r="K1928" s="19"/>
      <c r="L1928" s="19"/>
      <c r="M1928" s="19"/>
      <c r="N1928" s="19"/>
      <c r="O1928" s="19"/>
      <c r="P1928" s="19"/>
      <c r="Q1928" s="19"/>
      <c r="R1928" s="19"/>
      <c r="S1928" s="19"/>
      <c r="T1928" s="19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</row>
    <row r="1929" spans="1:34" ht="15.75" customHeight="1" x14ac:dyDescent="0.25">
      <c r="A1929" s="3"/>
      <c r="B1929" s="3"/>
      <c r="C1929" s="18"/>
      <c r="D1929" s="18"/>
      <c r="E1929" s="19"/>
      <c r="F1929" s="19"/>
      <c r="G1929" s="20"/>
      <c r="H1929" s="3"/>
      <c r="I1929" s="19"/>
      <c r="J1929" s="19"/>
      <c r="K1929" s="19"/>
      <c r="L1929" s="19"/>
      <c r="M1929" s="19"/>
      <c r="N1929" s="19"/>
      <c r="O1929" s="19"/>
      <c r="P1929" s="19"/>
      <c r="Q1929" s="19"/>
      <c r="R1929" s="19"/>
      <c r="S1929" s="19"/>
      <c r="T1929" s="19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</row>
    <row r="1930" spans="1:34" ht="15.75" customHeight="1" x14ac:dyDescent="0.25">
      <c r="A1930" s="3"/>
      <c r="B1930" s="3"/>
      <c r="C1930" s="18"/>
      <c r="D1930" s="18"/>
      <c r="E1930" s="19"/>
      <c r="F1930" s="19"/>
      <c r="G1930" s="20"/>
      <c r="H1930" s="3"/>
      <c r="I1930" s="19"/>
      <c r="J1930" s="19"/>
      <c r="K1930" s="19"/>
      <c r="L1930" s="19"/>
      <c r="M1930" s="19"/>
      <c r="N1930" s="19"/>
      <c r="O1930" s="19"/>
      <c r="P1930" s="19"/>
      <c r="Q1930" s="19"/>
      <c r="R1930" s="19"/>
      <c r="S1930" s="19"/>
      <c r="T1930" s="19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</row>
    <row r="1931" spans="1:34" ht="15.75" customHeight="1" x14ac:dyDescent="0.25">
      <c r="A1931" s="3"/>
      <c r="B1931" s="3"/>
      <c r="C1931" s="18"/>
      <c r="D1931" s="18"/>
      <c r="E1931" s="19"/>
      <c r="F1931" s="19"/>
      <c r="G1931" s="20"/>
      <c r="H1931" s="3"/>
      <c r="I1931" s="19"/>
      <c r="J1931" s="19"/>
      <c r="K1931" s="19"/>
      <c r="L1931" s="19"/>
      <c r="M1931" s="19"/>
      <c r="N1931" s="19"/>
      <c r="O1931" s="19"/>
      <c r="P1931" s="19"/>
      <c r="Q1931" s="19"/>
      <c r="R1931" s="19"/>
      <c r="S1931" s="19"/>
      <c r="T1931" s="19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</row>
    <row r="1932" spans="1:34" ht="15.75" customHeight="1" x14ac:dyDescent="0.25">
      <c r="A1932" s="3"/>
      <c r="B1932" s="3"/>
      <c r="C1932" s="18"/>
      <c r="D1932" s="18"/>
      <c r="E1932" s="19"/>
      <c r="F1932" s="19"/>
      <c r="G1932" s="20"/>
      <c r="H1932" s="3"/>
      <c r="I1932" s="19"/>
      <c r="J1932" s="19"/>
      <c r="K1932" s="19"/>
      <c r="L1932" s="19"/>
      <c r="M1932" s="19"/>
      <c r="N1932" s="19"/>
      <c r="O1932" s="19"/>
      <c r="P1932" s="19"/>
      <c r="Q1932" s="19"/>
      <c r="R1932" s="19"/>
      <c r="S1932" s="19"/>
      <c r="T1932" s="19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</row>
    <row r="1933" spans="1:34" ht="15.75" customHeight="1" x14ac:dyDescent="0.25">
      <c r="A1933" s="3"/>
      <c r="B1933" s="3"/>
      <c r="C1933" s="18"/>
      <c r="D1933" s="18"/>
      <c r="E1933" s="19"/>
      <c r="F1933" s="19"/>
      <c r="G1933" s="20"/>
      <c r="H1933" s="3"/>
      <c r="I1933" s="19"/>
      <c r="J1933" s="19"/>
      <c r="K1933" s="19"/>
      <c r="L1933" s="19"/>
      <c r="M1933" s="19"/>
      <c r="N1933" s="19"/>
      <c r="O1933" s="19"/>
      <c r="P1933" s="19"/>
      <c r="Q1933" s="19"/>
      <c r="R1933" s="19"/>
      <c r="S1933" s="19"/>
      <c r="T1933" s="19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</row>
    <row r="1934" spans="1:34" ht="15.75" customHeight="1" x14ac:dyDescent="0.25">
      <c r="A1934" s="3"/>
      <c r="B1934" s="3"/>
      <c r="C1934" s="18"/>
      <c r="D1934" s="18"/>
      <c r="E1934" s="19"/>
      <c r="F1934" s="19"/>
      <c r="G1934" s="20"/>
      <c r="H1934" s="3"/>
      <c r="I1934" s="19"/>
      <c r="J1934" s="19"/>
      <c r="K1934" s="19"/>
      <c r="L1934" s="19"/>
      <c r="M1934" s="19"/>
      <c r="N1934" s="19"/>
      <c r="O1934" s="19"/>
      <c r="P1934" s="19"/>
      <c r="Q1934" s="19"/>
      <c r="R1934" s="19"/>
      <c r="S1934" s="19"/>
      <c r="T1934" s="19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</row>
    <row r="1935" spans="1:34" ht="15.75" customHeight="1" x14ac:dyDescent="0.25">
      <c r="A1935" s="3"/>
      <c r="B1935" s="3"/>
      <c r="C1935" s="18"/>
      <c r="D1935" s="18"/>
      <c r="E1935" s="19"/>
      <c r="F1935" s="19"/>
      <c r="G1935" s="20"/>
      <c r="H1935" s="3"/>
      <c r="I1935" s="19"/>
      <c r="J1935" s="19"/>
      <c r="K1935" s="19"/>
      <c r="L1935" s="19"/>
      <c r="M1935" s="19"/>
      <c r="N1935" s="19"/>
      <c r="O1935" s="19"/>
      <c r="P1935" s="19"/>
      <c r="Q1935" s="19"/>
      <c r="R1935" s="19"/>
      <c r="S1935" s="19"/>
      <c r="T1935" s="19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</row>
    <row r="1936" spans="1:34" ht="15.75" customHeight="1" x14ac:dyDescent="0.25">
      <c r="A1936" s="3"/>
      <c r="B1936" s="3"/>
      <c r="C1936" s="18"/>
      <c r="D1936" s="18"/>
      <c r="E1936" s="19"/>
      <c r="F1936" s="19"/>
      <c r="G1936" s="20"/>
      <c r="H1936" s="3"/>
      <c r="I1936" s="19"/>
      <c r="J1936" s="19"/>
      <c r="K1936" s="19"/>
      <c r="L1936" s="19"/>
      <c r="M1936" s="19"/>
      <c r="N1936" s="19"/>
      <c r="O1936" s="19"/>
      <c r="P1936" s="19"/>
      <c r="Q1936" s="19"/>
      <c r="R1936" s="19"/>
      <c r="S1936" s="19"/>
      <c r="T1936" s="19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</row>
    <row r="1937" spans="1:34" ht="15.75" customHeight="1" x14ac:dyDescent="0.25">
      <c r="A1937" s="3"/>
      <c r="B1937" s="3"/>
      <c r="C1937" s="18"/>
      <c r="D1937" s="18"/>
      <c r="E1937" s="19"/>
      <c r="F1937" s="19"/>
      <c r="G1937" s="20"/>
      <c r="H1937" s="3"/>
      <c r="I1937" s="19"/>
      <c r="J1937" s="19"/>
      <c r="K1937" s="19"/>
      <c r="L1937" s="19"/>
      <c r="M1937" s="19"/>
      <c r="N1937" s="19"/>
      <c r="O1937" s="19"/>
      <c r="P1937" s="19"/>
      <c r="Q1937" s="19"/>
      <c r="R1937" s="19"/>
      <c r="S1937" s="19"/>
      <c r="T1937" s="19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</row>
    <row r="1938" spans="1:34" ht="15.75" customHeight="1" x14ac:dyDescent="0.25">
      <c r="A1938" s="3"/>
      <c r="B1938" s="3"/>
      <c r="C1938" s="18"/>
      <c r="D1938" s="18"/>
      <c r="E1938" s="19"/>
      <c r="F1938" s="19"/>
      <c r="G1938" s="20"/>
      <c r="H1938" s="3"/>
      <c r="I1938" s="19"/>
      <c r="J1938" s="19"/>
      <c r="K1938" s="19"/>
      <c r="L1938" s="19"/>
      <c r="M1938" s="19"/>
      <c r="N1938" s="19"/>
      <c r="O1938" s="19"/>
      <c r="P1938" s="19"/>
      <c r="Q1938" s="19"/>
      <c r="R1938" s="19"/>
      <c r="S1938" s="19"/>
      <c r="T1938" s="19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</row>
    <row r="1939" spans="1:34" ht="15.75" customHeight="1" x14ac:dyDescent="0.25">
      <c r="A1939" s="3"/>
      <c r="B1939" s="3"/>
      <c r="C1939" s="18"/>
      <c r="D1939" s="18"/>
      <c r="E1939" s="19"/>
      <c r="F1939" s="19"/>
      <c r="G1939" s="20"/>
      <c r="H1939" s="3"/>
      <c r="I1939" s="19"/>
      <c r="J1939" s="19"/>
      <c r="K1939" s="19"/>
      <c r="L1939" s="19"/>
      <c r="M1939" s="19"/>
      <c r="N1939" s="19"/>
      <c r="O1939" s="19"/>
      <c r="P1939" s="19"/>
      <c r="Q1939" s="19"/>
      <c r="R1939" s="19"/>
      <c r="S1939" s="19"/>
      <c r="T1939" s="19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</row>
    <row r="1940" spans="1:34" ht="15.75" customHeight="1" x14ac:dyDescent="0.25">
      <c r="A1940" s="3"/>
      <c r="B1940" s="3"/>
      <c r="C1940" s="18"/>
      <c r="D1940" s="18"/>
      <c r="E1940" s="19"/>
      <c r="F1940" s="19"/>
      <c r="G1940" s="20"/>
      <c r="H1940" s="3"/>
      <c r="I1940" s="19"/>
      <c r="J1940" s="19"/>
      <c r="K1940" s="19"/>
      <c r="L1940" s="19"/>
      <c r="M1940" s="19"/>
      <c r="N1940" s="19"/>
      <c r="O1940" s="19"/>
      <c r="P1940" s="19"/>
      <c r="Q1940" s="19"/>
      <c r="R1940" s="19"/>
      <c r="S1940" s="19"/>
      <c r="T1940" s="19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</row>
    <row r="1941" spans="1:34" ht="15.75" customHeight="1" x14ac:dyDescent="0.25">
      <c r="A1941" s="3"/>
      <c r="B1941" s="3"/>
      <c r="C1941" s="18"/>
      <c r="D1941" s="18"/>
      <c r="E1941" s="19"/>
      <c r="F1941" s="19"/>
      <c r="G1941" s="20"/>
      <c r="H1941" s="3"/>
      <c r="I1941" s="19"/>
      <c r="J1941" s="19"/>
      <c r="K1941" s="19"/>
      <c r="L1941" s="19"/>
      <c r="M1941" s="19"/>
      <c r="N1941" s="19"/>
      <c r="O1941" s="19"/>
      <c r="P1941" s="19"/>
      <c r="Q1941" s="19"/>
      <c r="R1941" s="19"/>
      <c r="S1941" s="19"/>
      <c r="T1941" s="19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</row>
    <row r="1942" spans="1:34" ht="15.75" customHeight="1" x14ac:dyDescent="0.25">
      <c r="A1942" s="3"/>
      <c r="B1942" s="3"/>
      <c r="C1942" s="18"/>
      <c r="D1942" s="18"/>
      <c r="E1942" s="19"/>
      <c r="F1942" s="19"/>
      <c r="G1942" s="20"/>
      <c r="H1942" s="3"/>
      <c r="I1942" s="19"/>
      <c r="J1942" s="19"/>
      <c r="K1942" s="19"/>
      <c r="L1942" s="19"/>
      <c r="M1942" s="19"/>
      <c r="N1942" s="19"/>
      <c r="O1942" s="19"/>
      <c r="P1942" s="19"/>
      <c r="Q1942" s="19"/>
      <c r="R1942" s="19"/>
      <c r="S1942" s="19"/>
      <c r="T1942" s="19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</row>
    <row r="1943" spans="1:34" ht="15.75" customHeight="1" x14ac:dyDescent="0.25">
      <c r="A1943" s="3"/>
      <c r="B1943" s="3"/>
      <c r="C1943" s="18"/>
      <c r="D1943" s="18"/>
      <c r="E1943" s="19"/>
      <c r="F1943" s="19"/>
      <c r="G1943" s="20"/>
      <c r="H1943" s="3"/>
      <c r="I1943" s="19"/>
      <c r="J1943" s="19"/>
      <c r="K1943" s="19"/>
      <c r="L1943" s="19"/>
      <c r="M1943" s="19"/>
      <c r="N1943" s="19"/>
      <c r="O1943" s="19"/>
      <c r="P1943" s="19"/>
      <c r="Q1943" s="19"/>
      <c r="R1943" s="19"/>
      <c r="S1943" s="19"/>
      <c r="T1943" s="19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</row>
    <row r="1944" spans="1:34" ht="15.75" customHeight="1" x14ac:dyDescent="0.25">
      <c r="A1944" s="3"/>
      <c r="B1944" s="3"/>
      <c r="C1944" s="18"/>
      <c r="D1944" s="18"/>
      <c r="E1944" s="19"/>
      <c r="F1944" s="19"/>
      <c r="G1944" s="20"/>
      <c r="H1944" s="3"/>
      <c r="I1944" s="19"/>
      <c r="J1944" s="19"/>
      <c r="K1944" s="19"/>
      <c r="L1944" s="19"/>
      <c r="M1944" s="19"/>
      <c r="N1944" s="19"/>
      <c r="O1944" s="19"/>
      <c r="P1944" s="19"/>
      <c r="Q1944" s="19"/>
      <c r="R1944" s="19"/>
      <c r="S1944" s="19"/>
      <c r="T1944" s="19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</row>
    <row r="1945" spans="1:34" ht="15.75" customHeight="1" x14ac:dyDescent="0.25">
      <c r="A1945" s="3"/>
      <c r="B1945" s="3"/>
      <c r="C1945" s="18"/>
      <c r="D1945" s="18"/>
      <c r="E1945" s="19"/>
      <c r="F1945" s="19"/>
      <c r="G1945" s="20"/>
      <c r="H1945" s="3"/>
      <c r="I1945" s="19"/>
      <c r="J1945" s="19"/>
      <c r="K1945" s="19"/>
      <c r="L1945" s="19"/>
      <c r="M1945" s="19"/>
      <c r="N1945" s="19"/>
      <c r="O1945" s="19"/>
      <c r="P1945" s="19"/>
      <c r="Q1945" s="19"/>
      <c r="R1945" s="19"/>
      <c r="S1945" s="19"/>
      <c r="T1945" s="19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</row>
    <row r="1946" spans="1:34" ht="15.75" customHeight="1" x14ac:dyDescent="0.25">
      <c r="A1946" s="3"/>
      <c r="B1946" s="3"/>
      <c r="C1946" s="18"/>
      <c r="D1946" s="18"/>
      <c r="E1946" s="19"/>
      <c r="F1946" s="19"/>
      <c r="G1946" s="20"/>
      <c r="H1946" s="3"/>
      <c r="I1946" s="19"/>
      <c r="J1946" s="19"/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</row>
    <row r="1947" spans="1:34" ht="15.75" customHeight="1" x14ac:dyDescent="0.25">
      <c r="A1947" s="3"/>
      <c r="B1947" s="3"/>
      <c r="C1947" s="18"/>
      <c r="D1947" s="18"/>
      <c r="E1947" s="19"/>
      <c r="F1947" s="19"/>
      <c r="G1947" s="20"/>
      <c r="H1947" s="3"/>
      <c r="I1947" s="19"/>
      <c r="J1947" s="19"/>
      <c r="K1947" s="19"/>
      <c r="L1947" s="19"/>
      <c r="M1947" s="19"/>
      <c r="N1947" s="19"/>
      <c r="O1947" s="19"/>
      <c r="P1947" s="19"/>
      <c r="Q1947" s="19"/>
      <c r="R1947" s="19"/>
      <c r="S1947" s="19"/>
      <c r="T1947" s="19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</row>
    <row r="1948" spans="1:34" ht="15.75" customHeight="1" x14ac:dyDescent="0.25">
      <c r="A1948" s="3"/>
      <c r="B1948" s="3"/>
      <c r="C1948" s="18"/>
      <c r="D1948" s="18"/>
      <c r="E1948" s="19"/>
      <c r="F1948" s="19"/>
      <c r="G1948" s="20"/>
      <c r="H1948" s="3"/>
      <c r="I1948" s="19"/>
      <c r="J1948" s="19"/>
      <c r="K1948" s="19"/>
      <c r="L1948" s="19"/>
      <c r="M1948" s="19"/>
      <c r="N1948" s="19"/>
      <c r="O1948" s="19"/>
      <c r="P1948" s="19"/>
      <c r="Q1948" s="19"/>
      <c r="R1948" s="19"/>
      <c r="S1948" s="19"/>
      <c r="T1948" s="19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</row>
    <row r="1949" spans="1:34" ht="15.75" customHeight="1" x14ac:dyDescent="0.25">
      <c r="A1949" s="3"/>
      <c r="B1949" s="3"/>
      <c r="C1949" s="18"/>
      <c r="D1949" s="18"/>
      <c r="E1949" s="19"/>
      <c r="F1949" s="19"/>
      <c r="G1949" s="20"/>
      <c r="H1949" s="3"/>
      <c r="I1949" s="19"/>
      <c r="J1949" s="19"/>
      <c r="K1949" s="19"/>
      <c r="L1949" s="19"/>
      <c r="M1949" s="19"/>
      <c r="N1949" s="19"/>
      <c r="O1949" s="19"/>
      <c r="P1949" s="19"/>
      <c r="Q1949" s="19"/>
      <c r="R1949" s="19"/>
      <c r="S1949" s="19"/>
      <c r="T1949" s="19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</row>
    <row r="1950" spans="1:34" ht="15.75" customHeight="1" x14ac:dyDescent="0.25">
      <c r="A1950" s="3"/>
      <c r="B1950" s="3"/>
      <c r="C1950" s="18"/>
      <c r="D1950" s="18"/>
      <c r="E1950" s="19"/>
      <c r="F1950" s="19"/>
      <c r="G1950" s="20"/>
      <c r="H1950" s="3"/>
      <c r="I1950" s="19"/>
      <c r="J1950" s="19"/>
      <c r="K1950" s="19"/>
      <c r="L1950" s="19"/>
      <c r="M1950" s="19"/>
      <c r="N1950" s="19"/>
      <c r="O1950" s="19"/>
      <c r="P1950" s="19"/>
      <c r="Q1950" s="19"/>
      <c r="R1950" s="19"/>
      <c r="S1950" s="19"/>
      <c r="T1950" s="19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</row>
    <row r="1951" spans="1:34" ht="15.75" customHeight="1" x14ac:dyDescent="0.25">
      <c r="A1951" s="3"/>
      <c r="B1951" s="3"/>
      <c r="C1951" s="18"/>
      <c r="D1951" s="18"/>
      <c r="E1951" s="19"/>
      <c r="F1951" s="19"/>
      <c r="G1951" s="20"/>
      <c r="H1951" s="3"/>
      <c r="I1951" s="19"/>
      <c r="J1951" s="19"/>
      <c r="K1951" s="19"/>
      <c r="L1951" s="19"/>
      <c r="M1951" s="19"/>
      <c r="N1951" s="19"/>
      <c r="O1951" s="19"/>
      <c r="P1951" s="19"/>
      <c r="Q1951" s="19"/>
      <c r="R1951" s="19"/>
      <c r="S1951" s="19"/>
      <c r="T1951" s="19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</row>
    <row r="1952" spans="1:34" ht="15.75" customHeight="1" x14ac:dyDescent="0.25">
      <c r="A1952" s="3"/>
      <c r="B1952" s="3"/>
      <c r="C1952" s="18"/>
      <c r="D1952" s="18"/>
      <c r="E1952" s="19"/>
      <c r="F1952" s="19"/>
      <c r="G1952" s="20"/>
      <c r="H1952" s="3"/>
      <c r="I1952" s="19"/>
      <c r="J1952" s="19"/>
      <c r="K1952" s="19"/>
      <c r="L1952" s="19"/>
      <c r="M1952" s="19"/>
      <c r="N1952" s="19"/>
      <c r="O1952" s="19"/>
      <c r="P1952" s="19"/>
      <c r="Q1952" s="19"/>
      <c r="R1952" s="19"/>
      <c r="S1952" s="19"/>
      <c r="T1952" s="19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</row>
    <row r="1953" spans="1:34" ht="15.75" customHeight="1" x14ac:dyDescent="0.25">
      <c r="A1953" s="3"/>
      <c r="B1953" s="3"/>
      <c r="C1953" s="18"/>
      <c r="D1953" s="18"/>
      <c r="E1953" s="19"/>
      <c r="F1953" s="19"/>
      <c r="G1953" s="20"/>
      <c r="H1953" s="3"/>
      <c r="I1953" s="19"/>
      <c r="J1953" s="19"/>
      <c r="K1953" s="19"/>
      <c r="L1953" s="19"/>
      <c r="M1953" s="19"/>
      <c r="N1953" s="19"/>
      <c r="O1953" s="19"/>
      <c r="P1953" s="19"/>
      <c r="Q1953" s="19"/>
      <c r="R1953" s="19"/>
      <c r="S1953" s="19"/>
      <c r="T1953" s="19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</row>
    <row r="1954" spans="1:34" ht="15.75" customHeight="1" x14ac:dyDescent="0.25">
      <c r="A1954" s="3"/>
      <c r="B1954" s="3"/>
      <c r="C1954" s="18"/>
      <c r="D1954" s="18"/>
      <c r="E1954" s="19"/>
      <c r="F1954" s="19"/>
      <c r="G1954" s="20"/>
      <c r="H1954" s="3"/>
      <c r="I1954" s="19"/>
      <c r="J1954" s="19"/>
      <c r="K1954" s="19"/>
      <c r="L1954" s="19"/>
      <c r="M1954" s="19"/>
      <c r="N1954" s="19"/>
      <c r="O1954" s="19"/>
      <c r="P1954" s="19"/>
      <c r="Q1954" s="19"/>
      <c r="R1954" s="19"/>
      <c r="S1954" s="19"/>
      <c r="T1954" s="19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</row>
    <row r="1955" spans="1:34" ht="15.75" customHeight="1" x14ac:dyDescent="0.25">
      <c r="A1955" s="3"/>
      <c r="B1955" s="3"/>
      <c r="C1955" s="18"/>
      <c r="D1955" s="18"/>
      <c r="E1955" s="19"/>
      <c r="F1955" s="19"/>
      <c r="G1955" s="20"/>
      <c r="H1955" s="3"/>
      <c r="I1955" s="19"/>
      <c r="J1955" s="19"/>
      <c r="K1955" s="19"/>
      <c r="L1955" s="19"/>
      <c r="M1955" s="19"/>
      <c r="N1955" s="19"/>
      <c r="O1955" s="19"/>
      <c r="P1955" s="19"/>
      <c r="Q1955" s="19"/>
      <c r="R1955" s="19"/>
      <c r="S1955" s="19"/>
      <c r="T1955" s="19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</row>
    <row r="1956" spans="1:34" ht="15.75" customHeight="1" x14ac:dyDescent="0.25">
      <c r="A1956" s="3"/>
      <c r="B1956" s="3"/>
      <c r="C1956" s="18"/>
      <c r="D1956" s="18"/>
      <c r="E1956" s="19"/>
      <c r="F1956" s="19"/>
      <c r="G1956" s="20"/>
      <c r="H1956" s="3"/>
      <c r="I1956" s="19"/>
      <c r="J1956" s="19"/>
      <c r="K1956" s="19"/>
      <c r="L1956" s="19"/>
      <c r="M1956" s="19"/>
      <c r="N1956" s="19"/>
      <c r="O1956" s="19"/>
      <c r="P1956" s="19"/>
      <c r="Q1956" s="19"/>
      <c r="R1956" s="19"/>
      <c r="S1956" s="19"/>
      <c r="T1956" s="19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</row>
    <row r="1957" spans="1:34" ht="15.75" customHeight="1" x14ac:dyDescent="0.25">
      <c r="A1957" s="3"/>
      <c r="B1957" s="3"/>
      <c r="C1957" s="18"/>
      <c r="D1957" s="18"/>
      <c r="E1957" s="19"/>
      <c r="F1957" s="19"/>
      <c r="G1957" s="20"/>
      <c r="H1957" s="3"/>
      <c r="I1957" s="19"/>
      <c r="J1957" s="19"/>
      <c r="K1957" s="19"/>
      <c r="L1957" s="19"/>
      <c r="M1957" s="19"/>
      <c r="N1957" s="19"/>
      <c r="O1957" s="19"/>
      <c r="P1957" s="19"/>
      <c r="Q1957" s="19"/>
      <c r="R1957" s="19"/>
      <c r="S1957" s="19"/>
      <c r="T1957" s="19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</row>
    <row r="1958" spans="1:34" ht="15.75" customHeight="1" x14ac:dyDescent="0.25">
      <c r="A1958" s="3"/>
      <c r="B1958" s="3"/>
      <c r="C1958" s="18"/>
      <c r="D1958" s="18"/>
      <c r="E1958" s="19"/>
      <c r="F1958" s="19"/>
      <c r="G1958" s="20"/>
      <c r="H1958" s="3"/>
      <c r="I1958" s="19"/>
      <c r="J1958" s="19"/>
      <c r="K1958" s="19"/>
      <c r="L1958" s="19"/>
      <c r="M1958" s="19"/>
      <c r="N1958" s="19"/>
      <c r="O1958" s="19"/>
      <c r="P1958" s="19"/>
      <c r="Q1958" s="19"/>
      <c r="R1958" s="19"/>
      <c r="S1958" s="19"/>
      <c r="T1958" s="19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</row>
    <row r="1959" spans="1:34" ht="15.75" customHeight="1" x14ac:dyDescent="0.25">
      <c r="A1959" s="3"/>
      <c r="B1959" s="3"/>
      <c r="C1959" s="18"/>
      <c r="D1959" s="18"/>
      <c r="E1959" s="19"/>
      <c r="F1959" s="19"/>
      <c r="G1959" s="20"/>
      <c r="H1959" s="3"/>
      <c r="I1959" s="19"/>
      <c r="J1959" s="19"/>
      <c r="K1959" s="19"/>
      <c r="L1959" s="19"/>
      <c r="M1959" s="19"/>
      <c r="N1959" s="19"/>
      <c r="O1959" s="19"/>
      <c r="P1959" s="19"/>
      <c r="Q1959" s="19"/>
      <c r="R1959" s="19"/>
      <c r="S1959" s="19"/>
      <c r="T1959" s="19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</row>
    <row r="1960" spans="1:34" ht="15.75" customHeight="1" x14ac:dyDescent="0.25">
      <c r="A1960" s="3"/>
      <c r="B1960" s="3"/>
      <c r="C1960" s="18"/>
      <c r="D1960" s="18"/>
      <c r="E1960" s="19"/>
      <c r="F1960" s="19"/>
      <c r="G1960" s="20"/>
      <c r="H1960" s="3"/>
      <c r="I1960" s="19"/>
      <c r="J1960" s="19"/>
      <c r="K1960" s="19"/>
      <c r="L1960" s="19"/>
      <c r="M1960" s="19"/>
      <c r="N1960" s="19"/>
      <c r="O1960" s="19"/>
      <c r="P1960" s="19"/>
      <c r="Q1960" s="19"/>
      <c r="R1960" s="19"/>
      <c r="S1960" s="19"/>
      <c r="T1960" s="19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</row>
    <row r="1961" spans="1:34" ht="15.75" customHeight="1" x14ac:dyDescent="0.25">
      <c r="A1961" s="3"/>
      <c r="B1961" s="3"/>
      <c r="C1961" s="18"/>
      <c r="D1961" s="18"/>
      <c r="E1961" s="19"/>
      <c r="F1961" s="19"/>
      <c r="G1961" s="20"/>
      <c r="H1961" s="3"/>
      <c r="I1961" s="19"/>
      <c r="J1961" s="19"/>
      <c r="K1961" s="19"/>
      <c r="L1961" s="19"/>
      <c r="M1961" s="19"/>
      <c r="N1961" s="19"/>
      <c r="O1961" s="19"/>
      <c r="P1961" s="19"/>
      <c r="Q1961" s="19"/>
      <c r="R1961" s="19"/>
      <c r="S1961" s="19"/>
      <c r="T1961" s="19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</row>
    <row r="1962" spans="1:34" ht="15.75" customHeight="1" x14ac:dyDescent="0.25">
      <c r="A1962" s="3"/>
      <c r="B1962" s="3"/>
      <c r="C1962" s="18"/>
      <c r="D1962" s="18"/>
      <c r="E1962" s="19"/>
      <c r="F1962" s="19"/>
      <c r="G1962" s="20"/>
      <c r="H1962" s="3"/>
      <c r="I1962" s="19"/>
      <c r="J1962" s="19"/>
      <c r="K1962" s="19"/>
      <c r="L1962" s="19"/>
      <c r="M1962" s="19"/>
      <c r="N1962" s="19"/>
      <c r="O1962" s="19"/>
      <c r="P1962" s="19"/>
      <c r="Q1962" s="19"/>
      <c r="R1962" s="19"/>
      <c r="S1962" s="19"/>
      <c r="T1962" s="19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</row>
    <row r="1963" spans="1:34" ht="15.75" customHeight="1" x14ac:dyDescent="0.25">
      <c r="A1963" s="3"/>
      <c r="B1963" s="3"/>
      <c r="C1963" s="18"/>
      <c r="D1963" s="18"/>
      <c r="E1963" s="19"/>
      <c r="F1963" s="19"/>
      <c r="G1963" s="20"/>
      <c r="H1963" s="3"/>
      <c r="I1963" s="19"/>
      <c r="J1963" s="19"/>
      <c r="K1963" s="19"/>
      <c r="L1963" s="19"/>
      <c r="M1963" s="19"/>
      <c r="N1963" s="19"/>
      <c r="O1963" s="19"/>
      <c r="P1963" s="19"/>
      <c r="Q1963" s="19"/>
      <c r="R1963" s="19"/>
      <c r="S1963" s="19"/>
      <c r="T1963" s="19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</row>
    <row r="1964" spans="1:34" ht="15.75" customHeight="1" x14ac:dyDescent="0.25">
      <c r="A1964" s="3"/>
      <c r="B1964" s="3"/>
      <c r="C1964" s="18"/>
      <c r="D1964" s="18"/>
      <c r="E1964" s="19"/>
      <c r="F1964" s="19"/>
      <c r="G1964" s="20"/>
      <c r="H1964" s="3"/>
      <c r="I1964" s="19"/>
      <c r="J1964" s="19"/>
      <c r="K1964" s="19"/>
      <c r="L1964" s="19"/>
      <c r="M1964" s="19"/>
      <c r="N1964" s="19"/>
      <c r="O1964" s="19"/>
      <c r="P1964" s="19"/>
      <c r="Q1964" s="19"/>
      <c r="R1964" s="19"/>
      <c r="S1964" s="19"/>
      <c r="T1964" s="19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</row>
    <row r="1965" spans="1:34" ht="15.75" customHeight="1" x14ac:dyDescent="0.25">
      <c r="A1965" s="3"/>
      <c r="B1965" s="3"/>
      <c r="C1965" s="18"/>
      <c r="D1965" s="18"/>
      <c r="E1965" s="19"/>
      <c r="F1965" s="19"/>
      <c r="G1965" s="20"/>
      <c r="H1965" s="3"/>
      <c r="I1965" s="19"/>
      <c r="J1965" s="19"/>
      <c r="K1965" s="19"/>
      <c r="L1965" s="19"/>
      <c r="M1965" s="19"/>
      <c r="N1965" s="19"/>
      <c r="O1965" s="19"/>
      <c r="P1965" s="19"/>
      <c r="Q1965" s="19"/>
      <c r="R1965" s="19"/>
      <c r="S1965" s="19"/>
      <c r="T1965" s="19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</row>
    <row r="1966" spans="1:34" ht="15.75" customHeight="1" x14ac:dyDescent="0.25">
      <c r="A1966" s="3"/>
      <c r="B1966" s="3"/>
      <c r="C1966" s="18"/>
      <c r="D1966" s="18"/>
      <c r="E1966" s="19"/>
      <c r="F1966" s="19"/>
      <c r="G1966" s="20"/>
      <c r="H1966" s="3"/>
      <c r="I1966" s="19"/>
      <c r="J1966" s="19"/>
      <c r="K1966" s="19"/>
      <c r="L1966" s="19"/>
      <c r="M1966" s="19"/>
      <c r="N1966" s="19"/>
      <c r="O1966" s="19"/>
      <c r="P1966" s="19"/>
      <c r="Q1966" s="19"/>
      <c r="R1966" s="19"/>
      <c r="S1966" s="19"/>
      <c r="T1966" s="19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</row>
    <row r="1967" spans="1:34" ht="15.75" customHeight="1" x14ac:dyDescent="0.25">
      <c r="A1967" s="3"/>
      <c r="B1967" s="3"/>
      <c r="C1967" s="18"/>
      <c r="D1967" s="18"/>
      <c r="E1967" s="19"/>
      <c r="F1967" s="19"/>
      <c r="G1967" s="20"/>
      <c r="H1967" s="3"/>
      <c r="I1967" s="19"/>
      <c r="J1967" s="19"/>
      <c r="K1967" s="19"/>
      <c r="L1967" s="19"/>
      <c r="M1967" s="19"/>
      <c r="N1967" s="19"/>
      <c r="O1967" s="19"/>
      <c r="P1967" s="19"/>
      <c r="Q1967" s="19"/>
      <c r="R1967" s="19"/>
      <c r="S1967" s="19"/>
      <c r="T1967" s="19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</row>
    <row r="1968" spans="1:34" ht="15.75" customHeight="1" x14ac:dyDescent="0.25">
      <c r="A1968" s="3"/>
      <c r="B1968" s="3"/>
      <c r="C1968" s="18"/>
      <c r="D1968" s="18"/>
      <c r="E1968" s="19"/>
      <c r="F1968" s="19"/>
      <c r="G1968" s="20"/>
      <c r="H1968" s="3"/>
      <c r="I1968" s="19"/>
      <c r="J1968" s="19"/>
      <c r="K1968" s="19"/>
      <c r="L1968" s="19"/>
      <c r="M1968" s="19"/>
      <c r="N1968" s="19"/>
      <c r="O1968" s="19"/>
      <c r="P1968" s="19"/>
      <c r="Q1968" s="19"/>
      <c r="R1968" s="19"/>
      <c r="S1968" s="19"/>
      <c r="T1968" s="19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</row>
    <row r="1969" spans="1:34" ht="15.75" customHeight="1" x14ac:dyDescent="0.25">
      <c r="A1969" s="3"/>
      <c r="B1969" s="3"/>
      <c r="C1969" s="18"/>
      <c r="D1969" s="18"/>
      <c r="E1969" s="19"/>
      <c r="F1969" s="19"/>
      <c r="G1969" s="20"/>
      <c r="H1969" s="3"/>
      <c r="I1969" s="19"/>
      <c r="J1969" s="19"/>
      <c r="K1969" s="19"/>
      <c r="L1969" s="19"/>
      <c r="M1969" s="19"/>
      <c r="N1969" s="19"/>
      <c r="O1969" s="19"/>
      <c r="P1969" s="19"/>
      <c r="Q1969" s="19"/>
      <c r="R1969" s="19"/>
      <c r="S1969" s="19"/>
      <c r="T1969" s="19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</row>
    <row r="1970" spans="1:34" ht="15.75" customHeight="1" x14ac:dyDescent="0.25">
      <c r="A1970" s="3"/>
      <c r="B1970" s="3"/>
      <c r="C1970" s="18"/>
      <c r="D1970" s="18"/>
      <c r="E1970" s="19"/>
      <c r="F1970" s="19"/>
      <c r="G1970" s="20"/>
      <c r="H1970" s="3"/>
      <c r="I1970" s="19"/>
      <c r="J1970" s="19"/>
      <c r="K1970" s="19"/>
      <c r="L1970" s="19"/>
      <c r="M1970" s="19"/>
      <c r="N1970" s="19"/>
      <c r="O1970" s="19"/>
      <c r="P1970" s="19"/>
      <c r="Q1970" s="19"/>
      <c r="R1970" s="19"/>
      <c r="S1970" s="19"/>
      <c r="T1970" s="19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</row>
    <row r="1971" spans="1:34" ht="15.75" customHeight="1" x14ac:dyDescent="0.25">
      <c r="A1971" s="3"/>
      <c r="B1971" s="3"/>
      <c r="C1971" s="18"/>
      <c r="D1971" s="18"/>
      <c r="E1971" s="19"/>
      <c r="F1971" s="19"/>
      <c r="G1971" s="20"/>
      <c r="H1971" s="3"/>
      <c r="I1971" s="19"/>
      <c r="J1971" s="19"/>
      <c r="K1971" s="19"/>
      <c r="L1971" s="19"/>
      <c r="M1971" s="19"/>
      <c r="N1971" s="19"/>
      <c r="O1971" s="19"/>
      <c r="P1971" s="19"/>
      <c r="Q1971" s="19"/>
      <c r="R1971" s="19"/>
      <c r="S1971" s="19"/>
      <c r="T1971" s="19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</row>
    <row r="1972" spans="1:34" ht="15.75" customHeight="1" x14ac:dyDescent="0.25">
      <c r="A1972" s="3"/>
      <c r="B1972" s="3"/>
      <c r="C1972" s="18"/>
      <c r="D1972" s="18"/>
      <c r="E1972" s="19"/>
      <c r="F1972" s="19"/>
      <c r="G1972" s="20"/>
      <c r="H1972" s="3"/>
      <c r="I1972" s="19"/>
      <c r="J1972" s="19"/>
      <c r="K1972" s="19"/>
      <c r="L1972" s="19"/>
      <c r="M1972" s="19"/>
      <c r="N1972" s="19"/>
      <c r="O1972" s="19"/>
      <c r="P1972" s="19"/>
      <c r="Q1972" s="19"/>
      <c r="R1972" s="19"/>
      <c r="S1972" s="19"/>
      <c r="T1972" s="19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</row>
    <row r="1973" spans="1:34" ht="15.75" customHeight="1" x14ac:dyDescent="0.25">
      <c r="A1973" s="3"/>
      <c r="B1973" s="3"/>
      <c r="C1973" s="18"/>
      <c r="D1973" s="18"/>
      <c r="E1973" s="19"/>
      <c r="F1973" s="19"/>
      <c r="G1973" s="20"/>
      <c r="H1973" s="3"/>
      <c r="I1973" s="19"/>
      <c r="J1973" s="19"/>
      <c r="K1973" s="19"/>
      <c r="L1973" s="19"/>
      <c r="M1973" s="19"/>
      <c r="N1973" s="19"/>
      <c r="O1973" s="19"/>
      <c r="P1973" s="19"/>
      <c r="Q1973" s="19"/>
      <c r="R1973" s="19"/>
      <c r="S1973" s="19"/>
      <c r="T1973" s="19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</row>
    <row r="1974" spans="1:34" ht="15.75" customHeight="1" x14ac:dyDescent="0.25">
      <c r="A1974" s="3"/>
      <c r="B1974" s="3"/>
      <c r="C1974" s="18"/>
      <c r="D1974" s="18"/>
      <c r="E1974" s="19"/>
      <c r="F1974" s="19"/>
      <c r="G1974" s="20"/>
      <c r="H1974" s="3"/>
      <c r="I1974" s="19"/>
      <c r="J1974" s="19"/>
      <c r="K1974" s="19"/>
      <c r="L1974" s="19"/>
      <c r="M1974" s="19"/>
      <c r="N1974" s="19"/>
      <c r="O1974" s="19"/>
      <c r="P1974" s="19"/>
      <c r="Q1974" s="19"/>
      <c r="R1974" s="19"/>
      <c r="S1974" s="19"/>
      <c r="T1974" s="19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</row>
    <row r="1975" spans="1:34" ht="15.75" customHeight="1" x14ac:dyDescent="0.25">
      <c r="A1975" s="3"/>
      <c r="B1975" s="3"/>
      <c r="C1975" s="18"/>
      <c r="D1975" s="18"/>
      <c r="E1975" s="19"/>
      <c r="F1975" s="19"/>
      <c r="G1975" s="20"/>
      <c r="H1975" s="3"/>
      <c r="I1975" s="19"/>
      <c r="J1975" s="19"/>
      <c r="K1975" s="19"/>
      <c r="L1975" s="19"/>
      <c r="M1975" s="19"/>
      <c r="N1975" s="19"/>
      <c r="O1975" s="19"/>
      <c r="P1975" s="19"/>
      <c r="Q1975" s="19"/>
      <c r="R1975" s="19"/>
      <c r="S1975" s="19"/>
      <c r="T1975" s="19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</row>
    <row r="1976" spans="1:34" ht="15.75" customHeight="1" x14ac:dyDescent="0.25">
      <c r="A1976" s="3"/>
      <c r="B1976" s="3"/>
      <c r="C1976" s="18"/>
      <c r="D1976" s="18"/>
      <c r="E1976" s="19"/>
      <c r="F1976" s="19"/>
      <c r="G1976" s="20"/>
      <c r="H1976" s="3"/>
      <c r="I1976" s="19"/>
      <c r="J1976" s="19"/>
      <c r="K1976" s="19"/>
      <c r="L1976" s="19"/>
      <c r="M1976" s="19"/>
      <c r="N1976" s="19"/>
      <c r="O1976" s="19"/>
      <c r="P1976" s="19"/>
      <c r="Q1976" s="19"/>
      <c r="R1976" s="19"/>
      <c r="S1976" s="19"/>
      <c r="T1976" s="19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</row>
    <row r="1977" spans="1:34" ht="15.75" customHeight="1" x14ac:dyDescent="0.25">
      <c r="A1977" s="3"/>
      <c r="B1977" s="3"/>
      <c r="C1977" s="18"/>
      <c r="D1977" s="18"/>
      <c r="E1977" s="19"/>
      <c r="F1977" s="19"/>
      <c r="G1977" s="20"/>
      <c r="H1977" s="3"/>
      <c r="I1977" s="19"/>
      <c r="J1977" s="19"/>
      <c r="K1977" s="19"/>
      <c r="L1977" s="19"/>
      <c r="M1977" s="19"/>
      <c r="N1977" s="19"/>
      <c r="O1977" s="19"/>
      <c r="P1977" s="19"/>
      <c r="Q1977" s="19"/>
      <c r="R1977" s="19"/>
      <c r="S1977" s="19"/>
      <c r="T1977" s="19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</row>
    <row r="1978" spans="1:34" ht="15.75" customHeight="1" x14ac:dyDescent="0.25">
      <c r="A1978" s="3"/>
      <c r="B1978" s="3"/>
      <c r="C1978" s="18"/>
      <c r="D1978" s="18"/>
      <c r="E1978" s="19"/>
      <c r="F1978" s="19"/>
      <c r="G1978" s="20"/>
      <c r="H1978" s="3"/>
      <c r="I1978" s="19"/>
      <c r="J1978" s="19"/>
      <c r="K1978" s="19"/>
      <c r="L1978" s="19"/>
      <c r="M1978" s="19"/>
      <c r="N1978" s="19"/>
      <c r="O1978" s="19"/>
      <c r="P1978" s="19"/>
      <c r="Q1978" s="19"/>
      <c r="R1978" s="19"/>
      <c r="S1978" s="19"/>
      <c r="T1978" s="19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</row>
    <row r="1979" spans="1:34" ht="15.75" customHeight="1" x14ac:dyDescent="0.25">
      <c r="A1979" s="3"/>
      <c r="B1979" s="3"/>
      <c r="C1979" s="18"/>
      <c r="D1979" s="18"/>
      <c r="E1979" s="19"/>
      <c r="F1979" s="19"/>
      <c r="G1979" s="20"/>
      <c r="H1979" s="3"/>
      <c r="I1979" s="19"/>
      <c r="J1979" s="19"/>
      <c r="K1979" s="19"/>
      <c r="L1979" s="19"/>
      <c r="M1979" s="19"/>
      <c r="N1979" s="19"/>
      <c r="O1979" s="19"/>
      <c r="P1979" s="19"/>
      <c r="Q1979" s="19"/>
      <c r="R1979" s="19"/>
      <c r="S1979" s="19"/>
      <c r="T1979" s="19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</row>
    <row r="1980" spans="1:34" ht="15.75" customHeight="1" x14ac:dyDescent="0.25">
      <c r="A1980" s="3"/>
      <c r="B1980" s="3"/>
      <c r="C1980" s="18"/>
      <c r="D1980" s="18"/>
      <c r="E1980" s="19"/>
      <c r="F1980" s="19"/>
      <c r="G1980" s="20"/>
      <c r="H1980" s="3"/>
      <c r="I1980" s="19"/>
      <c r="J1980" s="19"/>
      <c r="K1980" s="19"/>
      <c r="L1980" s="19"/>
      <c r="M1980" s="19"/>
      <c r="N1980" s="19"/>
      <c r="O1980" s="19"/>
      <c r="P1980" s="19"/>
      <c r="Q1980" s="19"/>
      <c r="R1980" s="19"/>
      <c r="S1980" s="19"/>
      <c r="T1980" s="19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</row>
    <row r="1981" spans="1:34" ht="15.75" customHeight="1" x14ac:dyDescent="0.25">
      <c r="A1981" s="3"/>
      <c r="B1981" s="3"/>
      <c r="C1981" s="18"/>
      <c r="D1981" s="18"/>
      <c r="E1981" s="19"/>
      <c r="F1981" s="19"/>
      <c r="G1981" s="20"/>
      <c r="H1981" s="3"/>
      <c r="I1981" s="19"/>
      <c r="J1981" s="19"/>
      <c r="K1981" s="19"/>
      <c r="L1981" s="19"/>
      <c r="M1981" s="19"/>
      <c r="N1981" s="19"/>
      <c r="O1981" s="19"/>
      <c r="P1981" s="19"/>
      <c r="Q1981" s="19"/>
      <c r="R1981" s="19"/>
      <c r="S1981" s="19"/>
      <c r="T1981" s="19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</row>
    <row r="1982" spans="1:34" ht="15.75" customHeight="1" x14ac:dyDescent="0.25">
      <c r="A1982" s="3"/>
      <c r="B1982" s="3"/>
      <c r="C1982" s="18"/>
      <c r="D1982" s="18"/>
      <c r="E1982" s="19"/>
      <c r="F1982" s="19"/>
      <c r="G1982" s="20"/>
      <c r="H1982" s="3"/>
      <c r="I1982" s="19"/>
      <c r="J1982" s="19"/>
      <c r="K1982" s="19"/>
      <c r="L1982" s="19"/>
      <c r="M1982" s="19"/>
      <c r="N1982" s="19"/>
      <c r="O1982" s="19"/>
      <c r="P1982" s="19"/>
      <c r="Q1982" s="19"/>
      <c r="R1982" s="19"/>
      <c r="S1982" s="19"/>
      <c r="T1982" s="19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</row>
    <row r="1983" spans="1:34" ht="15.75" customHeight="1" x14ac:dyDescent="0.25">
      <c r="A1983" s="3"/>
      <c r="B1983" s="3"/>
      <c r="C1983" s="18"/>
      <c r="D1983" s="18"/>
      <c r="E1983" s="19"/>
      <c r="F1983" s="19"/>
      <c r="G1983" s="20"/>
      <c r="H1983" s="3"/>
      <c r="I1983" s="19"/>
      <c r="J1983" s="19"/>
      <c r="K1983" s="19"/>
      <c r="L1983" s="19"/>
      <c r="M1983" s="19"/>
      <c r="N1983" s="19"/>
      <c r="O1983" s="19"/>
      <c r="P1983" s="19"/>
      <c r="Q1983" s="19"/>
      <c r="R1983" s="19"/>
      <c r="S1983" s="19"/>
      <c r="T1983" s="19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</row>
    <row r="1984" spans="1:34" ht="15.75" customHeight="1" x14ac:dyDescent="0.25">
      <c r="A1984" s="3"/>
      <c r="B1984" s="3"/>
      <c r="C1984" s="18"/>
      <c r="D1984" s="18"/>
      <c r="E1984" s="19"/>
      <c r="F1984" s="19"/>
      <c r="G1984" s="20"/>
      <c r="H1984" s="3"/>
      <c r="I1984" s="19"/>
      <c r="J1984" s="19"/>
      <c r="K1984" s="19"/>
      <c r="L1984" s="19"/>
      <c r="M1984" s="19"/>
      <c r="N1984" s="19"/>
      <c r="O1984" s="19"/>
      <c r="P1984" s="19"/>
      <c r="Q1984" s="19"/>
      <c r="R1984" s="19"/>
      <c r="S1984" s="19"/>
      <c r="T1984" s="19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</row>
    <row r="1985" spans="1:34" ht="15.75" customHeight="1" x14ac:dyDescent="0.25">
      <c r="A1985" s="3"/>
      <c r="B1985" s="3"/>
      <c r="C1985" s="18"/>
      <c r="D1985" s="18"/>
      <c r="E1985" s="19"/>
      <c r="F1985" s="19"/>
      <c r="G1985" s="20"/>
      <c r="H1985" s="3"/>
      <c r="I1985" s="19"/>
      <c r="J1985" s="19"/>
      <c r="K1985" s="19"/>
      <c r="L1985" s="19"/>
      <c r="M1985" s="19"/>
      <c r="N1985" s="19"/>
      <c r="O1985" s="19"/>
      <c r="P1985" s="19"/>
      <c r="Q1985" s="19"/>
      <c r="R1985" s="19"/>
      <c r="S1985" s="19"/>
      <c r="T1985" s="19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</row>
    <row r="1986" spans="1:34" ht="15.75" customHeight="1" x14ac:dyDescent="0.25">
      <c r="A1986" s="3"/>
      <c r="B1986" s="3"/>
      <c r="C1986" s="18"/>
      <c r="D1986" s="18"/>
      <c r="E1986" s="19"/>
      <c r="F1986" s="19"/>
      <c r="G1986" s="20"/>
      <c r="H1986" s="3"/>
      <c r="I1986" s="19"/>
      <c r="J1986" s="19"/>
      <c r="K1986" s="19"/>
      <c r="L1986" s="19"/>
      <c r="M1986" s="19"/>
      <c r="N1986" s="19"/>
      <c r="O1986" s="19"/>
      <c r="P1986" s="19"/>
      <c r="Q1986" s="19"/>
      <c r="R1986" s="19"/>
      <c r="S1986" s="19"/>
      <c r="T1986" s="19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</row>
    <row r="1987" spans="1:34" ht="15.75" customHeight="1" x14ac:dyDescent="0.25">
      <c r="A1987" s="3"/>
      <c r="B1987" s="3"/>
      <c r="C1987" s="18"/>
      <c r="D1987" s="18"/>
      <c r="E1987" s="19"/>
      <c r="F1987" s="19"/>
      <c r="G1987" s="20"/>
      <c r="H1987" s="3"/>
      <c r="I1987" s="19"/>
      <c r="J1987" s="19"/>
      <c r="K1987" s="19"/>
      <c r="L1987" s="19"/>
      <c r="M1987" s="19"/>
      <c r="N1987" s="19"/>
      <c r="O1987" s="19"/>
      <c r="P1987" s="19"/>
      <c r="Q1987" s="19"/>
      <c r="R1987" s="19"/>
      <c r="S1987" s="19"/>
      <c r="T1987" s="19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</row>
    <row r="1988" spans="1:34" ht="15.75" customHeight="1" x14ac:dyDescent="0.25">
      <c r="A1988" s="3"/>
      <c r="B1988" s="3"/>
      <c r="C1988" s="18"/>
      <c r="D1988" s="18"/>
      <c r="E1988" s="19"/>
      <c r="F1988" s="19"/>
      <c r="G1988" s="20"/>
      <c r="H1988" s="3"/>
      <c r="I1988" s="19"/>
      <c r="J1988" s="19"/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</row>
    <row r="1989" spans="1:34" ht="15.75" customHeight="1" x14ac:dyDescent="0.25">
      <c r="A1989" s="3"/>
      <c r="B1989" s="3"/>
      <c r="C1989" s="18"/>
      <c r="D1989" s="18"/>
      <c r="E1989" s="19"/>
      <c r="F1989" s="19"/>
      <c r="G1989" s="20"/>
      <c r="H1989" s="3"/>
      <c r="I1989" s="19"/>
      <c r="J1989" s="19"/>
      <c r="K1989" s="19"/>
      <c r="L1989" s="19"/>
      <c r="M1989" s="19"/>
      <c r="N1989" s="19"/>
      <c r="O1989" s="19"/>
      <c r="P1989" s="19"/>
      <c r="Q1989" s="19"/>
      <c r="R1989" s="19"/>
      <c r="S1989" s="19"/>
      <c r="T1989" s="19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</row>
    <row r="1990" spans="1:34" ht="15.75" customHeight="1" x14ac:dyDescent="0.25">
      <c r="A1990" s="3"/>
      <c r="B1990" s="3"/>
      <c r="C1990" s="18"/>
      <c r="D1990" s="18"/>
      <c r="E1990" s="19"/>
      <c r="F1990" s="19"/>
      <c r="G1990" s="20"/>
      <c r="H1990" s="3"/>
      <c r="I1990" s="19"/>
      <c r="J1990" s="19"/>
      <c r="K1990" s="19"/>
      <c r="L1990" s="19"/>
      <c r="M1990" s="19"/>
      <c r="N1990" s="19"/>
      <c r="O1990" s="19"/>
      <c r="P1990" s="19"/>
      <c r="Q1990" s="19"/>
      <c r="R1990" s="19"/>
      <c r="S1990" s="19"/>
      <c r="T1990" s="19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</row>
    <row r="1991" spans="1:34" ht="15.75" customHeight="1" x14ac:dyDescent="0.25">
      <c r="A1991" s="3"/>
      <c r="B1991" s="3"/>
      <c r="C1991" s="18"/>
      <c r="D1991" s="18"/>
      <c r="E1991" s="19"/>
      <c r="F1991" s="19"/>
      <c r="G1991" s="20"/>
      <c r="H1991" s="3"/>
      <c r="I1991" s="19"/>
      <c r="J1991" s="19"/>
      <c r="K1991" s="19"/>
      <c r="L1991" s="19"/>
      <c r="M1991" s="19"/>
      <c r="N1991" s="19"/>
      <c r="O1991" s="19"/>
      <c r="P1991" s="19"/>
      <c r="Q1991" s="19"/>
      <c r="R1991" s="19"/>
      <c r="S1991" s="19"/>
      <c r="T1991" s="19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</row>
    <row r="1992" spans="1:34" ht="15.75" customHeight="1" x14ac:dyDescent="0.25">
      <c r="A1992" s="3"/>
      <c r="B1992" s="3"/>
      <c r="C1992" s="18"/>
      <c r="D1992" s="18"/>
      <c r="E1992" s="19"/>
      <c r="F1992" s="19"/>
      <c r="G1992" s="20"/>
      <c r="H1992" s="3"/>
      <c r="I1992" s="19"/>
      <c r="J1992" s="19"/>
      <c r="K1992" s="19"/>
      <c r="L1992" s="19"/>
      <c r="M1992" s="19"/>
      <c r="N1992" s="19"/>
      <c r="O1992" s="19"/>
      <c r="P1992" s="19"/>
      <c r="Q1992" s="19"/>
      <c r="R1992" s="19"/>
      <c r="S1992" s="19"/>
      <c r="T1992" s="19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</row>
    <row r="1993" spans="1:34" ht="15.75" customHeight="1" x14ac:dyDescent="0.25">
      <c r="A1993" s="3"/>
      <c r="B1993" s="3"/>
      <c r="C1993" s="18"/>
      <c r="D1993" s="18"/>
      <c r="E1993" s="19"/>
      <c r="F1993" s="19"/>
      <c r="G1993" s="20"/>
      <c r="H1993" s="3"/>
      <c r="I1993" s="19"/>
      <c r="J1993" s="19"/>
      <c r="K1993" s="19"/>
      <c r="L1993" s="19"/>
      <c r="M1993" s="19"/>
      <c r="N1993" s="19"/>
      <c r="O1993" s="19"/>
      <c r="P1993" s="19"/>
      <c r="Q1993" s="19"/>
      <c r="R1993" s="19"/>
      <c r="S1993" s="19"/>
      <c r="T1993" s="19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</row>
    <row r="1994" spans="1:34" ht="15.75" customHeight="1" x14ac:dyDescent="0.25">
      <c r="A1994" s="3"/>
      <c r="B1994" s="3"/>
      <c r="C1994" s="18"/>
      <c r="D1994" s="18"/>
      <c r="E1994" s="19"/>
      <c r="F1994" s="19"/>
      <c r="G1994" s="20"/>
      <c r="H1994" s="3"/>
      <c r="I1994" s="19"/>
      <c r="J1994" s="19"/>
      <c r="K1994" s="19"/>
      <c r="L1994" s="19"/>
      <c r="M1994" s="19"/>
      <c r="N1994" s="19"/>
      <c r="O1994" s="19"/>
      <c r="P1994" s="19"/>
      <c r="Q1994" s="19"/>
      <c r="R1994" s="19"/>
      <c r="S1994" s="19"/>
      <c r="T1994" s="19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</row>
    <row r="1995" spans="1:34" ht="15.75" customHeight="1" x14ac:dyDescent="0.25">
      <c r="A1995" s="3"/>
      <c r="B1995" s="3"/>
      <c r="C1995" s="18"/>
      <c r="D1995" s="18"/>
      <c r="E1995" s="19"/>
      <c r="F1995" s="19"/>
      <c r="G1995" s="20"/>
      <c r="H1995" s="3"/>
      <c r="I1995" s="19"/>
      <c r="J1995" s="19"/>
      <c r="K1995" s="19"/>
      <c r="L1995" s="19"/>
      <c r="M1995" s="19"/>
      <c r="N1995" s="19"/>
      <c r="O1995" s="19"/>
      <c r="P1995" s="19"/>
      <c r="Q1995" s="19"/>
      <c r="R1995" s="19"/>
      <c r="S1995" s="19"/>
      <c r="T1995" s="19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</row>
    <row r="1996" spans="1:34" ht="15.75" customHeight="1" x14ac:dyDescent="0.25">
      <c r="A1996" s="3"/>
      <c r="B1996" s="3"/>
      <c r="C1996" s="18"/>
      <c r="D1996" s="18"/>
      <c r="E1996" s="19"/>
      <c r="F1996" s="19"/>
      <c r="G1996" s="20"/>
      <c r="H1996" s="3"/>
      <c r="I1996" s="19"/>
      <c r="J1996" s="19"/>
      <c r="K1996" s="19"/>
      <c r="L1996" s="19"/>
      <c r="M1996" s="19"/>
      <c r="N1996" s="19"/>
      <c r="O1996" s="19"/>
      <c r="P1996" s="19"/>
      <c r="Q1996" s="19"/>
      <c r="R1996" s="19"/>
      <c r="S1996" s="19"/>
      <c r="T1996" s="19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</row>
    <row r="1997" spans="1:34" ht="15.75" customHeight="1" x14ac:dyDescent="0.25">
      <c r="A1997" s="3"/>
      <c r="B1997" s="3"/>
      <c r="C1997" s="18"/>
      <c r="D1997" s="18"/>
      <c r="E1997" s="19"/>
      <c r="F1997" s="19"/>
      <c r="G1997" s="20"/>
      <c r="H1997" s="3"/>
      <c r="I1997" s="19"/>
      <c r="J1997" s="19"/>
      <c r="K1997" s="19"/>
      <c r="L1997" s="19"/>
      <c r="M1997" s="19"/>
      <c r="N1997" s="19"/>
      <c r="O1997" s="19"/>
      <c r="P1997" s="19"/>
      <c r="Q1997" s="19"/>
      <c r="R1997" s="19"/>
      <c r="S1997" s="19"/>
      <c r="T1997" s="19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</row>
    <row r="1998" spans="1:34" ht="15.75" customHeight="1" x14ac:dyDescent="0.25">
      <c r="A1998" s="3"/>
      <c r="B1998" s="3"/>
      <c r="C1998" s="18"/>
      <c r="D1998" s="18"/>
      <c r="E1998" s="19"/>
      <c r="F1998" s="19"/>
      <c r="G1998" s="20"/>
      <c r="H1998" s="3"/>
      <c r="I1998" s="19"/>
      <c r="J1998" s="19"/>
      <c r="K1998" s="19"/>
      <c r="L1998" s="19"/>
      <c r="M1998" s="19"/>
      <c r="N1998" s="19"/>
      <c r="O1998" s="19"/>
      <c r="P1998" s="19"/>
      <c r="Q1998" s="19"/>
      <c r="R1998" s="19"/>
      <c r="S1998" s="19"/>
      <c r="T1998" s="19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</row>
    <row r="1999" spans="1:34" ht="15.75" customHeight="1" x14ac:dyDescent="0.25">
      <c r="A1999" s="3"/>
      <c r="B1999" s="3"/>
      <c r="C1999" s="18"/>
      <c r="D1999" s="18"/>
      <c r="E1999" s="19"/>
      <c r="F1999" s="19"/>
      <c r="G1999" s="20"/>
      <c r="H1999" s="3"/>
      <c r="I1999" s="19"/>
      <c r="J1999" s="19"/>
      <c r="K1999" s="19"/>
      <c r="L1999" s="19"/>
      <c r="M1999" s="19"/>
      <c r="N1999" s="19"/>
      <c r="O1999" s="19"/>
      <c r="P1999" s="19"/>
      <c r="Q1999" s="19"/>
      <c r="R1999" s="19"/>
      <c r="S1999" s="19"/>
      <c r="T1999" s="19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</row>
    <row r="2000" spans="1:34" ht="15.75" customHeight="1" x14ac:dyDescent="0.25">
      <c r="A2000" s="3"/>
      <c r="B2000" s="3"/>
      <c r="C2000" s="18"/>
      <c r="D2000" s="18"/>
      <c r="E2000" s="19"/>
      <c r="F2000" s="19"/>
      <c r="G2000" s="20"/>
      <c r="H2000" s="3"/>
      <c r="I2000" s="19"/>
      <c r="J2000" s="19"/>
      <c r="K2000" s="19"/>
      <c r="L2000" s="19"/>
      <c r="M2000" s="19"/>
      <c r="N2000" s="19"/>
      <c r="O2000" s="19"/>
      <c r="P2000" s="19"/>
      <c r="Q2000" s="19"/>
      <c r="R2000" s="19"/>
      <c r="S2000" s="19"/>
      <c r="T2000" s="19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</row>
    <row r="2001" spans="1:34" ht="15.75" customHeight="1" x14ac:dyDescent="0.25">
      <c r="A2001" s="3"/>
      <c r="B2001" s="3"/>
      <c r="C2001" s="18"/>
      <c r="D2001" s="18"/>
      <c r="E2001" s="19"/>
      <c r="F2001" s="19"/>
      <c r="G2001" s="20"/>
      <c r="H2001" s="3"/>
      <c r="I2001" s="19"/>
      <c r="J2001" s="19"/>
      <c r="K2001" s="19"/>
      <c r="L2001" s="19"/>
      <c r="M2001" s="19"/>
      <c r="N2001" s="19"/>
      <c r="O2001" s="19"/>
      <c r="P2001" s="19"/>
      <c r="Q2001" s="19"/>
      <c r="R2001" s="19"/>
      <c r="S2001" s="19"/>
      <c r="T2001" s="19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</row>
    <row r="2002" spans="1:34" ht="15.75" customHeight="1" x14ac:dyDescent="0.25">
      <c r="A2002" s="3"/>
      <c r="B2002" s="3"/>
      <c r="C2002" s="18"/>
      <c r="D2002" s="18"/>
      <c r="E2002" s="19"/>
      <c r="F2002" s="19"/>
      <c r="G2002" s="20"/>
      <c r="H2002" s="3"/>
      <c r="I2002" s="19"/>
      <c r="J2002" s="19"/>
      <c r="K2002" s="19"/>
      <c r="L2002" s="19"/>
      <c r="M2002" s="19"/>
      <c r="N2002" s="19"/>
      <c r="O2002" s="19"/>
      <c r="P2002" s="19"/>
      <c r="Q2002" s="19"/>
      <c r="R2002" s="19"/>
      <c r="S2002" s="19"/>
      <c r="T2002" s="19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</row>
    <row r="2003" spans="1:34" ht="15.75" customHeight="1" x14ac:dyDescent="0.25">
      <c r="A2003" s="3"/>
      <c r="B2003" s="3"/>
      <c r="C2003" s="18"/>
      <c r="D2003" s="18"/>
      <c r="E2003" s="19"/>
      <c r="F2003" s="19"/>
      <c r="G2003" s="20"/>
      <c r="H2003" s="3"/>
      <c r="I2003" s="19"/>
      <c r="J2003" s="19"/>
      <c r="K2003" s="19"/>
      <c r="L2003" s="19"/>
      <c r="M2003" s="19"/>
      <c r="N2003" s="19"/>
      <c r="O2003" s="19"/>
      <c r="P2003" s="19"/>
      <c r="Q2003" s="19"/>
      <c r="R2003" s="19"/>
      <c r="S2003" s="19"/>
      <c r="T2003" s="19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</row>
    <row r="2004" spans="1:34" ht="15.75" customHeight="1" x14ac:dyDescent="0.25">
      <c r="A2004" s="3"/>
      <c r="B2004" s="3"/>
      <c r="C2004" s="18"/>
      <c r="D2004" s="18"/>
      <c r="E2004" s="19"/>
      <c r="F2004" s="19"/>
      <c r="G2004" s="20"/>
      <c r="H2004" s="3"/>
      <c r="I2004" s="19"/>
      <c r="J2004" s="19"/>
      <c r="K2004" s="19"/>
      <c r="L2004" s="19"/>
      <c r="M2004" s="19"/>
      <c r="N2004" s="19"/>
      <c r="O2004" s="19"/>
      <c r="P2004" s="19"/>
      <c r="Q2004" s="19"/>
      <c r="R2004" s="19"/>
      <c r="S2004" s="19"/>
      <c r="T2004" s="19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</row>
    <row r="2005" spans="1:34" ht="15.75" customHeight="1" x14ac:dyDescent="0.25">
      <c r="A2005" s="3"/>
      <c r="B2005" s="3"/>
      <c r="C2005" s="18"/>
      <c r="D2005" s="18"/>
      <c r="E2005" s="19"/>
      <c r="F2005" s="19"/>
      <c r="G2005" s="20"/>
      <c r="H2005" s="3"/>
      <c r="I2005" s="19"/>
      <c r="J2005" s="19"/>
      <c r="K2005" s="19"/>
      <c r="L2005" s="19"/>
      <c r="M2005" s="19"/>
      <c r="N2005" s="19"/>
      <c r="O2005" s="19"/>
      <c r="P2005" s="19"/>
      <c r="Q2005" s="19"/>
      <c r="R2005" s="19"/>
      <c r="S2005" s="19"/>
      <c r="T2005" s="19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</row>
    <row r="2006" spans="1:34" ht="15.75" customHeight="1" x14ac:dyDescent="0.25">
      <c r="A2006" s="3"/>
      <c r="B2006" s="3"/>
      <c r="C2006" s="18"/>
      <c r="D2006" s="18"/>
      <c r="E2006" s="19"/>
      <c r="F2006" s="19"/>
      <c r="G2006" s="20"/>
      <c r="H2006" s="3"/>
      <c r="I2006" s="19"/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</row>
    <row r="2007" spans="1:34" ht="15.75" customHeight="1" x14ac:dyDescent="0.25">
      <c r="A2007" s="3"/>
      <c r="B2007" s="3"/>
      <c r="C2007" s="18"/>
      <c r="D2007" s="18"/>
      <c r="E2007" s="19"/>
      <c r="F2007" s="19"/>
      <c r="G2007" s="20"/>
      <c r="H2007" s="3"/>
      <c r="I2007" s="19"/>
      <c r="J2007" s="19"/>
      <c r="K2007" s="19"/>
      <c r="L2007" s="19"/>
      <c r="M2007" s="19"/>
      <c r="N2007" s="19"/>
      <c r="O2007" s="19"/>
      <c r="P2007" s="19"/>
      <c r="Q2007" s="19"/>
      <c r="R2007" s="19"/>
      <c r="S2007" s="19"/>
      <c r="T2007" s="19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</row>
    <row r="2008" spans="1:34" ht="15.75" customHeight="1" x14ac:dyDescent="0.25">
      <c r="A2008" s="3"/>
      <c r="B2008" s="3"/>
      <c r="C2008" s="18"/>
      <c r="D2008" s="18"/>
      <c r="E2008" s="19"/>
      <c r="F2008" s="19"/>
      <c r="G2008" s="20"/>
      <c r="H2008" s="3"/>
      <c r="I2008" s="19"/>
      <c r="J2008" s="19"/>
      <c r="K2008" s="19"/>
      <c r="L2008" s="19"/>
      <c r="M2008" s="19"/>
      <c r="N2008" s="19"/>
      <c r="O2008" s="19"/>
      <c r="P2008" s="19"/>
      <c r="Q2008" s="19"/>
      <c r="R2008" s="19"/>
      <c r="S2008" s="19"/>
      <c r="T2008" s="19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</row>
    <row r="2009" spans="1:34" ht="15.75" customHeight="1" x14ac:dyDescent="0.25">
      <c r="A2009" s="3"/>
      <c r="B2009" s="3"/>
      <c r="C2009" s="18"/>
      <c r="D2009" s="18"/>
      <c r="E2009" s="19"/>
      <c r="F2009" s="19"/>
      <c r="G2009" s="20"/>
      <c r="H2009" s="3"/>
      <c r="I2009" s="19"/>
      <c r="J2009" s="19"/>
      <c r="K2009" s="19"/>
      <c r="L2009" s="19"/>
      <c r="M2009" s="19"/>
      <c r="N2009" s="19"/>
      <c r="O2009" s="19"/>
      <c r="P2009" s="19"/>
      <c r="Q2009" s="19"/>
      <c r="R2009" s="19"/>
      <c r="S2009" s="19"/>
      <c r="T2009" s="19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</row>
    <row r="2010" spans="1:34" ht="15.75" customHeight="1" x14ac:dyDescent="0.25">
      <c r="A2010" s="3"/>
      <c r="B2010" s="3"/>
      <c r="C2010" s="18"/>
      <c r="D2010" s="18"/>
      <c r="E2010" s="19"/>
      <c r="F2010" s="19"/>
      <c r="G2010" s="20"/>
      <c r="H2010" s="3"/>
      <c r="I2010" s="19"/>
      <c r="J2010" s="19"/>
      <c r="K2010" s="19"/>
      <c r="L2010" s="19"/>
      <c r="M2010" s="19"/>
      <c r="N2010" s="19"/>
      <c r="O2010" s="19"/>
      <c r="P2010" s="19"/>
      <c r="Q2010" s="19"/>
      <c r="R2010" s="19"/>
      <c r="S2010" s="19"/>
      <c r="T2010" s="19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</row>
    <row r="2011" spans="1:34" ht="15.75" customHeight="1" x14ac:dyDescent="0.25">
      <c r="A2011" s="3"/>
      <c r="B2011" s="3"/>
      <c r="C2011" s="18"/>
      <c r="D2011" s="18"/>
      <c r="E2011" s="19"/>
      <c r="F2011" s="19"/>
      <c r="G2011" s="20"/>
      <c r="H2011" s="3"/>
      <c r="I2011" s="19"/>
      <c r="J2011" s="19"/>
      <c r="K2011" s="19"/>
      <c r="L2011" s="19"/>
      <c r="M2011" s="19"/>
      <c r="N2011" s="19"/>
      <c r="O2011" s="19"/>
      <c r="P2011" s="19"/>
      <c r="Q2011" s="19"/>
      <c r="R2011" s="19"/>
      <c r="S2011" s="19"/>
      <c r="T2011" s="19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</row>
    <row r="2012" spans="1:34" ht="15.75" customHeight="1" x14ac:dyDescent="0.25">
      <c r="A2012" s="3"/>
      <c r="B2012" s="3"/>
      <c r="C2012" s="18"/>
      <c r="D2012" s="18"/>
      <c r="E2012" s="19"/>
      <c r="F2012" s="19"/>
      <c r="G2012" s="20"/>
      <c r="H2012" s="3"/>
      <c r="I2012" s="19"/>
      <c r="J2012" s="19"/>
      <c r="K2012" s="19"/>
      <c r="L2012" s="19"/>
      <c r="M2012" s="19"/>
      <c r="N2012" s="19"/>
      <c r="O2012" s="19"/>
      <c r="P2012" s="19"/>
      <c r="Q2012" s="19"/>
      <c r="R2012" s="19"/>
      <c r="S2012" s="19"/>
      <c r="T2012" s="19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</row>
    <row r="2013" spans="1:34" ht="15.75" customHeight="1" x14ac:dyDescent="0.25">
      <c r="A2013" s="3"/>
      <c r="B2013" s="3"/>
      <c r="C2013" s="18"/>
      <c r="D2013" s="18"/>
      <c r="E2013" s="19"/>
      <c r="F2013" s="19"/>
      <c r="G2013" s="20"/>
      <c r="H2013" s="3"/>
      <c r="I2013" s="19"/>
      <c r="J2013" s="19"/>
      <c r="K2013" s="19"/>
      <c r="L2013" s="19"/>
      <c r="M2013" s="19"/>
      <c r="N2013" s="19"/>
      <c r="O2013" s="19"/>
      <c r="P2013" s="19"/>
      <c r="Q2013" s="19"/>
      <c r="R2013" s="19"/>
      <c r="S2013" s="19"/>
      <c r="T2013" s="19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</row>
    <row r="2014" spans="1:34" ht="15.75" customHeight="1" x14ac:dyDescent="0.25">
      <c r="A2014" s="3"/>
      <c r="B2014" s="3"/>
      <c r="C2014" s="18"/>
      <c r="D2014" s="18"/>
      <c r="E2014" s="19"/>
      <c r="F2014" s="19"/>
      <c r="G2014" s="20"/>
      <c r="H2014" s="3"/>
      <c r="I2014" s="19"/>
      <c r="J2014" s="19"/>
      <c r="K2014" s="19"/>
      <c r="L2014" s="19"/>
      <c r="M2014" s="19"/>
      <c r="N2014" s="19"/>
      <c r="O2014" s="19"/>
      <c r="P2014" s="19"/>
      <c r="Q2014" s="19"/>
      <c r="R2014" s="19"/>
      <c r="S2014" s="19"/>
      <c r="T2014" s="19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</row>
    <row r="2015" spans="1:34" ht="15.75" customHeight="1" x14ac:dyDescent="0.25">
      <c r="A2015" s="3"/>
      <c r="B2015" s="3"/>
      <c r="C2015" s="18"/>
      <c r="D2015" s="18"/>
      <c r="E2015" s="19"/>
      <c r="F2015" s="19"/>
      <c r="G2015" s="20"/>
      <c r="H2015" s="3"/>
      <c r="I2015" s="19"/>
      <c r="J2015" s="19"/>
      <c r="K2015" s="19"/>
      <c r="L2015" s="19"/>
      <c r="M2015" s="19"/>
      <c r="N2015" s="19"/>
      <c r="O2015" s="19"/>
      <c r="P2015" s="19"/>
      <c r="Q2015" s="19"/>
      <c r="R2015" s="19"/>
      <c r="S2015" s="19"/>
      <c r="T2015" s="19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</row>
    <row r="2016" spans="1:34" ht="15.75" customHeight="1" x14ac:dyDescent="0.25">
      <c r="A2016" s="3"/>
      <c r="B2016" s="3"/>
      <c r="C2016" s="18"/>
      <c r="D2016" s="18"/>
      <c r="E2016" s="19"/>
      <c r="F2016" s="19"/>
      <c r="G2016" s="20"/>
      <c r="H2016" s="3"/>
      <c r="I2016" s="19"/>
      <c r="J2016" s="19"/>
      <c r="K2016" s="19"/>
      <c r="L2016" s="19"/>
      <c r="M2016" s="19"/>
      <c r="N2016" s="19"/>
      <c r="O2016" s="19"/>
      <c r="P2016" s="19"/>
      <c r="Q2016" s="19"/>
      <c r="R2016" s="19"/>
      <c r="S2016" s="19"/>
      <c r="T2016" s="19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</row>
    <row r="2017" spans="1:34" ht="15.75" customHeight="1" x14ac:dyDescent="0.25">
      <c r="A2017" s="3"/>
      <c r="B2017" s="3"/>
      <c r="C2017" s="18"/>
      <c r="D2017" s="18"/>
      <c r="E2017" s="19"/>
      <c r="F2017" s="19"/>
      <c r="G2017" s="20"/>
      <c r="H2017" s="3"/>
      <c r="I2017" s="19"/>
      <c r="J2017" s="19"/>
      <c r="K2017" s="19"/>
      <c r="L2017" s="19"/>
      <c r="M2017" s="19"/>
      <c r="N2017" s="19"/>
      <c r="O2017" s="19"/>
      <c r="P2017" s="19"/>
      <c r="Q2017" s="19"/>
      <c r="R2017" s="19"/>
      <c r="S2017" s="19"/>
      <c r="T2017" s="19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</row>
    <row r="2018" spans="1:34" ht="15.75" customHeight="1" x14ac:dyDescent="0.25">
      <c r="A2018" s="3"/>
      <c r="B2018" s="3"/>
      <c r="C2018" s="18"/>
      <c r="D2018" s="18"/>
      <c r="E2018" s="19"/>
      <c r="F2018" s="19"/>
      <c r="G2018" s="20"/>
      <c r="H2018" s="3"/>
      <c r="I2018" s="19"/>
      <c r="J2018" s="19"/>
      <c r="K2018" s="19"/>
      <c r="L2018" s="19"/>
      <c r="M2018" s="19"/>
      <c r="N2018" s="19"/>
      <c r="O2018" s="19"/>
      <c r="P2018" s="19"/>
      <c r="Q2018" s="19"/>
      <c r="R2018" s="19"/>
      <c r="S2018" s="19"/>
      <c r="T2018" s="19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</row>
    <row r="2019" spans="1:34" ht="15.75" customHeight="1" x14ac:dyDescent="0.25">
      <c r="A2019" s="3"/>
      <c r="B2019" s="3"/>
      <c r="C2019" s="18"/>
      <c r="D2019" s="18"/>
      <c r="E2019" s="19"/>
      <c r="F2019" s="19"/>
      <c r="G2019" s="20"/>
      <c r="H2019" s="3"/>
      <c r="I2019" s="19"/>
      <c r="J2019" s="19"/>
      <c r="K2019" s="19"/>
      <c r="L2019" s="19"/>
      <c r="M2019" s="19"/>
      <c r="N2019" s="19"/>
      <c r="O2019" s="19"/>
      <c r="P2019" s="19"/>
      <c r="Q2019" s="19"/>
      <c r="R2019" s="19"/>
      <c r="S2019" s="19"/>
      <c r="T2019" s="19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</row>
    <row r="2020" spans="1:34" ht="15.75" customHeight="1" x14ac:dyDescent="0.25">
      <c r="A2020" s="3"/>
      <c r="B2020" s="3"/>
      <c r="C2020" s="18"/>
      <c r="D2020" s="18"/>
      <c r="E2020" s="19"/>
      <c r="F2020" s="19"/>
      <c r="G2020" s="20"/>
      <c r="H2020" s="3"/>
      <c r="I2020" s="19"/>
      <c r="J2020" s="19"/>
      <c r="K2020" s="19"/>
      <c r="L2020" s="19"/>
      <c r="M2020" s="19"/>
      <c r="N2020" s="19"/>
      <c r="O2020" s="19"/>
      <c r="P2020" s="19"/>
      <c r="Q2020" s="19"/>
      <c r="R2020" s="19"/>
      <c r="S2020" s="19"/>
      <c r="T2020" s="19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</row>
    <row r="2021" spans="1:34" ht="15.75" customHeight="1" x14ac:dyDescent="0.25">
      <c r="A2021" s="3"/>
      <c r="B2021" s="3"/>
      <c r="C2021" s="18"/>
      <c r="D2021" s="18"/>
      <c r="E2021" s="19"/>
      <c r="F2021" s="19"/>
      <c r="G2021" s="20"/>
      <c r="H2021" s="3"/>
      <c r="I2021" s="19"/>
      <c r="J2021" s="19"/>
      <c r="K2021" s="19"/>
      <c r="L2021" s="19"/>
      <c r="M2021" s="19"/>
      <c r="N2021" s="19"/>
      <c r="O2021" s="19"/>
      <c r="P2021" s="19"/>
      <c r="Q2021" s="19"/>
      <c r="R2021" s="19"/>
      <c r="S2021" s="19"/>
      <c r="T2021" s="19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</row>
    <row r="2022" spans="1:34" ht="15.75" customHeight="1" x14ac:dyDescent="0.25">
      <c r="A2022" s="3"/>
      <c r="B2022" s="3"/>
      <c r="C2022" s="18"/>
      <c r="D2022" s="18"/>
      <c r="E2022" s="19"/>
      <c r="F2022" s="19"/>
      <c r="G2022" s="20"/>
      <c r="H2022" s="3"/>
      <c r="I2022" s="19"/>
      <c r="J2022" s="19"/>
      <c r="K2022" s="19"/>
      <c r="L2022" s="19"/>
      <c r="M2022" s="19"/>
      <c r="N2022" s="19"/>
      <c r="O2022" s="19"/>
      <c r="P2022" s="19"/>
      <c r="Q2022" s="19"/>
      <c r="R2022" s="19"/>
      <c r="S2022" s="19"/>
      <c r="T2022" s="19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</row>
    <row r="2023" spans="1:34" ht="15.75" customHeight="1" x14ac:dyDescent="0.25">
      <c r="A2023" s="3"/>
      <c r="B2023" s="3"/>
      <c r="C2023" s="18"/>
      <c r="D2023" s="18"/>
      <c r="E2023" s="19"/>
      <c r="F2023" s="19"/>
      <c r="G2023" s="20"/>
      <c r="H2023" s="3"/>
      <c r="I2023" s="19"/>
      <c r="J2023" s="19"/>
      <c r="K2023" s="19"/>
      <c r="L2023" s="19"/>
      <c r="M2023" s="19"/>
      <c r="N2023" s="19"/>
      <c r="O2023" s="19"/>
      <c r="P2023" s="19"/>
      <c r="Q2023" s="19"/>
      <c r="R2023" s="19"/>
      <c r="S2023" s="19"/>
      <c r="T2023" s="19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</row>
    <row r="2024" spans="1:34" ht="15.75" customHeight="1" x14ac:dyDescent="0.25">
      <c r="A2024" s="3"/>
      <c r="B2024" s="3"/>
      <c r="C2024" s="18"/>
      <c r="D2024" s="18"/>
      <c r="E2024" s="19"/>
      <c r="F2024" s="19"/>
      <c r="G2024" s="20"/>
      <c r="H2024" s="3"/>
      <c r="I2024" s="19"/>
      <c r="J2024" s="19"/>
      <c r="K2024" s="19"/>
      <c r="L2024" s="19"/>
      <c r="M2024" s="19"/>
      <c r="N2024" s="19"/>
      <c r="O2024" s="19"/>
      <c r="P2024" s="19"/>
      <c r="Q2024" s="19"/>
      <c r="R2024" s="19"/>
      <c r="S2024" s="19"/>
      <c r="T2024" s="19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</row>
    <row r="2025" spans="1:34" ht="15.75" customHeight="1" x14ac:dyDescent="0.25">
      <c r="A2025" s="3"/>
      <c r="B2025" s="3"/>
      <c r="C2025" s="18"/>
      <c r="D2025" s="18"/>
      <c r="E2025" s="19"/>
      <c r="F2025" s="19"/>
      <c r="G2025" s="20"/>
      <c r="H2025" s="3"/>
      <c r="I2025" s="19"/>
      <c r="J2025" s="19"/>
      <c r="K2025" s="19"/>
      <c r="L2025" s="19"/>
      <c r="M2025" s="19"/>
      <c r="N2025" s="19"/>
      <c r="O2025" s="19"/>
      <c r="P2025" s="19"/>
      <c r="Q2025" s="19"/>
      <c r="R2025" s="19"/>
      <c r="S2025" s="19"/>
      <c r="T2025" s="19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</row>
    <row r="2026" spans="1:34" ht="15.75" customHeight="1" x14ac:dyDescent="0.25">
      <c r="A2026" s="3"/>
      <c r="B2026" s="3"/>
      <c r="C2026" s="18"/>
      <c r="D2026" s="18"/>
      <c r="E2026" s="19"/>
      <c r="F2026" s="19"/>
      <c r="G2026" s="20"/>
      <c r="H2026" s="3"/>
      <c r="I2026" s="19"/>
      <c r="J2026" s="19"/>
      <c r="K2026" s="19"/>
      <c r="L2026" s="19"/>
      <c r="M2026" s="19"/>
      <c r="N2026" s="19"/>
      <c r="O2026" s="19"/>
      <c r="P2026" s="19"/>
      <c r="Q2026" s="19"/>
      <c r="R2026" s="19"/>
      <c r="S2026" s="19"/>
      <c r="T2026" s="19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</row>
    <row r="2027" spans="1:34" ht="15.75" customHeight="1" x14ac:dyDescent="0.25">
      <c r="A2027" s="3"/>
      <c r="B2027" s="3"/>
      <c r="C2027" s="18"/>
      <c r="D2027" s="18"/>
      <c r="E2027" s="19"/>
      <c r="F2027" s="19"/>
      <c r="G2027" s="20"/>
      <c r="H2027" s="3"/>
      <c r="I2027" s="19"/>
      <c r="J2027" s="19"/>
      <c r="K2027" s="19"/>
      <c r="L2027" s="19"/>
      <c r="M2027" s="19"/>
      <c r="N2027" s="19"/>
      <c r="O2027" s="19"/>
      <c r="P2027" s="19"/>
      <c r="Q2027" s="19"/>
      <c r="R2027" s="19"/>
      <c r="S2027" s="19"/>
      <c r="T2027" s="19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</row>
    <row r="2028" spans="1:34" ht="15.75" customHeight="1" x14ac:dyDescent="0.25">
      <c r="A2028" s="3"/>
      <c r="B2028" s="3"/>
      <c r="C2028" s="18"/>
      <c r="D2028" s="18"/>
      <c r="E2028" s="19"/>
      <c r="F2028" s="19"/>
      <c r="G2028" s="20"/>
      <c r="H2028" s="3"/>
      <c r="I2028" s="19"/>
      <c r="J2028" s="19"/>
      <c r="K2028" s="19"/>
      <c r="L2028" s="19"/>
      <c r="M2028" s="19"/>
      <c r="N2028" s="19"/>
      <c r="O2028" s="19"/>
      <c r="P2028" s="19"/>
      <c r="Q2028" s="19"/>
      <c r="R2028" s="19"/>
      <c r="S2028" s="19"/>
      <c r="T2028" s="19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</row>
    <row r="2029" spans="1:34" ht="15.75" customHeight="1" x14ac:dyDescent="0.25">
      <c r="A2029" s="3"/>
      <c r="B2029" s="3"/>
      <c r="C2029" s="18"/>
      <c r="D2029" s="18"/>
      <c r="E2029" s="19"/>
      <c r="F2029" s="19"/>
      <c r="G2029" s="20"/>
      <c r="H2029" s="3"/>
      <c r="I2029" s="19"/>
      <c r="J2029" s="19"/>
      <c r="K2029" s="19"/>
      <c r="L2029" s="19"/>
      <c r="M2029" s="19"/>
      <c r="N2029" s="19"/>
      <c r="O2029" s="19"/>
      <c r="P2029" s="19"/>
      <c r="Q2029" s="19"/>
      <c r="R2029" s="19"/>
      <c r="S2029" s="19"/>
      <c r="T2029" s="19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</row>
    <row r="2030" spans="1:34" ht="15.75" customHeight="1" x14ac:dyDescent="0.25">
      <c r="A2030" s="3"/>
      <c r="B2030" s="3"/>
      <c r="C2030" s="18"/>
      <c r="D2030" s="18"/>
      <c r="E2030" s="19"/>
      <c r="F2030" s="19"/>
      <c r="G2030" s="20"/>
      <c r="H2030" s="3"/>
      <c r="I2030" s="19"/>
      <c r="J2030" s="19"/>
      <c r="K2030" s="19"/>
      <c r="L2030" s="19"/>
      <c r="M2030" s="19"/>
      <c r="N2030" s="19"/>
      <c r="O2030" s="19"/>
      <c r="P2030" s="19"/>
      <c r="Q2030" s="19"/>
      <c r="R2030" s="19"/>
      <c r="S2030" s="19"/>
      <c r="T2030" s="19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</row>
    <row r="2031" spans="1:34" ht="15.75" customHeight="1" x14ac:dyDescent="0.25">
      <c r="A2031" s="3"/>
      <c r="B2031" s="3"/>
      <c r="C2031" s="18"/>
      <c r="D2031" s="18"/>
      <c r="E2031" s="19"/>
      <c r="F2031" s="19"/>
      <c r="G2031" s="20"/>
      <c r="H2031" s="3"/>
      <c r="I2031" s="19"/>
      <c r="J2031" s="19"/>
      <c r="K2031" s="19"/>
      <c r="L2031" s="19"/>
      <c r="M2031" s="19"/>
      <c r="N2031" s="19"/>
      <c r="O2031" s="19"/>
      <c r="P2031" s="19"/>
      <c r="Q2031" s="19"/>
      <c r="R2031" s="19"/>
      <c r="S2031" s="19"/>
      <c r="T2031" s="19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</row>
    <row r="2032" spans="1:34" ht="15.75" customHeight="1" x14ac:dyDescent="0.25">
      <c r="A2032" s="3"/>
      <c r="B2032" s="3"/>
      <c r="C2032" s="18"/>
      <c r="D2032" s="18"/>
      <c r="E2032" s="19"/>
      <c r="F2032" s="19"/>
      <c r="G2032" s="20"/>
      <c r="H2032" s="3"/>
      <c r="I2032" s="19"/>
      <c r="J2032" s="19"/>
      <c r="K2032" s="19"/>
      <c r="L2032" s="19"/>
      <c r="M2032" s="19"/>
      <c r="N2032" s="19"/>
      <c r="O2032" s="19"/>
      <c r="P2032" s="19"/>
      <c r="Q2032" s="19"/>
      <c r="R2032" s="19"/>
      <c r="S2032" s="19"/>
      <c r="T2032" s="19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</row>
    <row r="2033" spans="1:34" ht="15.75" customHeight="1" x14ac:dyDescent="0.25">
      <c r="A2033" s="3"/>
      <c r="B2033" s="3"/>
      <c r="C2033" s="18"/>
      <c r="D2033" s="18"/>
      <c r="E2033" s="19"/>
      <c r="F2033" s="19"/>
      <c r="G2033" s="20"/>
      <c r="H2033" s="3"/>
      <c r="I2033" s="19"/>
      <c r="J2033" s="19"/>
      <c r="K2033" s="19"/>
      <c r="L2033" s="19"/>
      <c r="M2033" s="19"/>
      <c r="N2033" s="19"/>
      <c r="O2033" s="19"/>
      <c r="P2033" s="19"/>
      <c r="Q2033" s="19"/>
      <c r="R2033" s="19"/>
      <c r="S2033" s="19"/>
      <c r="T2033" s="19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</row>
    <row r="2034" spans="1:34" ht="15.75" customHeight="1" x14ac:dyDescent="0.25">
      <c r="A2034" s="3"/>
      <c r="B2034" s="3"/>
      <c r="C2034" s="18"/>
      <c r="D2034" s="18"/>
      <c r="E2034" s="19"/>
      <c r="F2034" s="19"/>
      <c r="G2034" s="20"/>
      <c r="H2034" s="3"/>
      <c r="I2034" s="19"/>
      <c r="J2034" s="19"/>
      <c r="K2034" s="19"/>
      <c r="L2034" s="19"/>
      <c r="M2034" s="19"/>
      <c r="N2034" s="19"/>
      <c r="O2034" s="19"/>
      <c r="P2034" s="19"/>
      <c r="Q2034" s="19"/>
      <c r="R2034" s="19"/>
      <c r="S2034" s="19"/>
      <c r="T2034" s="19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</row>
    <row r="2035" spans="1:34" ht="15.75" customHeight="1" x14ac:dyDescent="0.25">
      <c r="A2035" s="3"/>
      <c r="B2035" s="3"/>
      <c r="C2035" s="18"/>
      <c r="D2035" s="18"/>
      <c r="E2035" s="19"/>
      <c r="F2035" s="19"/>
      <c r="G2035" s="20"/>
      <c r="H2035" s="3"/>
      <c r="I2035" s="19"/>
      <c r="J2035" s="19"/>
      <c r="K2035" s="19"/>
      <c r="L2035" s="19"/>
      <c r="M2035" s="19"/>
      <c r="N2035" s="19"/>
      <c r="O2035" s="19"/>
      <c r="P2035" s="19"/>
      <c r="Q2035" s="19"/>
      <c r="R2035" s="19"/>
      <c r="S2035" s="19"/>
      <c r="T2035" s="19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</row>
    <row r="2036" spans="1:34" ht="15.75" customHeight="1" x14ac:dyDescent="0.25">
      <c r="A2036" s="3"/>
      <c r="B2036" s="3"/>
      <c r="C2036" s="18"/>
      <c r="D2036" s="18"/>
      <c r="E2036" s="19"/>
      <c r="F2036" s="19"/>
      <c r="G2036" s="20"/>
      <c r="H2036" s="3"/>
      <c r="I2036" s="19"/>
      <c r="J2036" s="19"/>
      <c r="K2036" s="19"/>
      <c r="L2036" s="19"/>
      <c r="M2036" s="19"/>
      <c r="N2036" s="19"/>
      <c r="O2036" s="19"/>
      <c r="P2036" s="19"/>
      <c r="Q2036" s="19"/>
      <c r="R2036" s="19"/>
      <c r="S2036" s="19"/>
      <c r="T2036" s="19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</row>
    <row r="2037" spans="1:34" ht="15.75" customHeight="1" x14ac:dyDescent="0.25">
      <c r="A2037" s="3"/>
      <c r="B2037" s="3"/>
      <c r="C2037" s="18"/>
      <c r="D2037" s="18"/>
      <c r="E2037" s="19"/>
      <c r="F2037" s="19"/>
      <c r="G2037" s="20"/>
      <c r="H2037" s="3"/>
      <c r="I2037" s="19"/>
      <c r="J2037" s="19"/>
      <c r="K2037" s="19"/>
      <c r="L2037" s="19"/>
      <c r="M2037" s="19"/>
      <c r="N2037" s="19"/>
      <c r="O2037" s="19"/>
      <c r="P2037" s="19"/>
      <c r="Q2037" s="19"/>
      <c r="R2037" s="19"/>
      <c r="S2037" s="19"/>
      <c r="T2037" s="19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</row>
    <row r="2038" spans="1:34" ht="15.75" customHeight="1" x14ac:dyDescent="0.25">
      <c r="A2038" s="3"/>
      <c r="B2038" s="3"/>
      <c r="C2038" s="18"/>
      <c r="D2038" s="18"/>
      <c r="E2038" s="19"/>
      <c r="F2038" s="19"/>
      <c r="G2038" s="20"/>
      <c r="H2038" s="3"/>
      <c r="I2038" s="19"/>
      <c r="J2038" s="19"/>
      <c r="K2038" s="19"/>
      <c r="L2038" s="19"/>
      <c r="M2038" s="19"/>
      <c r="N2038" s="19"/>
      <c r="O2038" s="19"/>
      <c r="P2038" s="19"/>
      <c r="Q2038" s="19"/>
      <c r="R2038" s="19"/>
      <c r="S2038" s="19"/>
      <c r="T2038" s="19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</row>
    <row r="2039" spans="1:34" ht="15.75" customHeight="1" x14ac:dyDescent="0.25">
      <c r="A2039" s="3"/>
      <c r="B2039" s="3"/>
      <c r="C2039" s="18"/>
      <c r="D2039" s="18"/>
      <c r="E2039" s="19"/>
      <c r="F2039" s="19"/>
      <c r="G2039" s="20"/>
      <c r="H2039" s="3"/>
      <c r="I2039" s="19"/>
      <c r="J2039" s="19"/>
      <c r="K2039" s="19"/>
      <c r="L2039" s="19"/>
      <c r="M2039" s="19"/>
      <c r="N2039" s="19"/>
      <c r="O2039" s="19"/>
      <c r="P2039" s="19"/>
      <c r="Q2039" s="19"/>
      <c r="R2039" s="19"/>
      <c r="S2039" s="19"/>
      <c r="T2039" s="19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</row>
    <row r="2040" spans="1:34" ht="15.75" customHeight="1" x14ac:dyDescent="0.25">
      <c r="A2040" s="3"/>
      <c r="B2040" s="3"/>
      <c r="C2040" s="18"/>
      <c r="D2040" s="18"/>
      <c r="E2040" s="19"/>
      <c r="F2040" s="19"/>
      <c r="G2040" s="20"/>
      <c r="H2040" s="3"/>
      <c r="I2040" s="19"/>
      <c r="J2040" s="19"/>
      <c r="K2040" s="19"/>
      <c r="L2040" s="19"/>
      <c r="M2040" s="19"/>
      <c r="N2040" s="19"/>
      <c r="O2040" s="19"/>
      <c r="P2040" s="19"/>
      <c r="Q2040" s="19"/>
      <c r="R2040" s="19"/>
      <c r="S2040" s="19"/>
      <c r="T2040" s="19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</row>
    <row r="2041" spans="1:34" ht="15.75" customHeight="1" x14ac:dyDescent="0.25">
      <c r="A2041" s="3"/>
      <c r="B2041" s="3"/>
      <c r="C2041" s="18"/>
      <c r="D2041" s="18"/>
      <c r="E2041" s="19"/>
      <c r="F2041" s="19"/>
      <c r="G2041" s="20"/>
      <c r="H2041" s="3"/>
      <c r="I2041" s="19"/>
      <c r="J2041" s="19"/>
      <c r="K2041" s="19"/>
      <c r="L2041" s="19"/>
      <c r="M2041" s="19"/>
      <c r="N2041" s="19"/>
      <c r="O2041" s="19"/>
      <c r="P2041" s="19"/>
      <c r="Q2041" s="19"/>
      <c r="R2041" s="19"/>
      <c r="S2041" s="19"/>
      <c r="T2041" s="19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</row>
    <row r="2042" spans="1:34" ht="15.75" customHeight="1" x14ac:dyDescent="0.25">
      <c r="A2042" s="3"/>
      <c r="B2042" s="3"/>
      <c r="C2042" s="18"/>
      <c r="D2042" s="18"/>
      <c r="E2042" s="19"/>
      <c r="F2042" s="19"/>
      <c r="G2042" s="20"/>
      <c r="H2042" s="3"/>
      <c r="I2042" s="19"/>
      <c r="J2042" s="19"/>
      <c r="K2042" s="19"/>
      <c r="L2042" s="19"/>
      <c r="M2042" s="19"/>
      <c r="N2042" s="19"/>
      <c r="O2042" s="19"/>
      <c r="P2042" s="19"/>
      <c r="Q2042" s="19"/>
      <c r="R2042" s="19"/>
      <c r="S2042" s="19"/>
      <c r="T2042" s="19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</row>
    <row r="2043" spans="1:34" ht="15.75" customHeight="1" x14ac:dyDescent="0.25">
      <c r="A2043" s="3"/>
      <c r="B2043" s="3"/>
      <c r="C2043" s="18"/>
      <c r="D2043" s="18"/>
      <c r="E2043" s="19"/>
      <c r="F2043" s="19"/>
      <c r="G2043" s="20"/>
      <c r="H2043" s="3"/>
      <c r="I2043" s="19"/>
      <c r="J2043" s="19"/>
      <c r="K2043" s="19"/>
      <c r="L2043" s="19"/>
      <c r="M2043" s="19"/>
      <c r="N2043" s="19"/>
      <c r="O2043" s="19"/>
      <c r="P2043" s="19"/>
      <c r="Q2043" s="19"/>
      <c r="R2043" s="19"/>
      <c r="S2043" s="19"/>
      <c r="T2043" s="19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</row>
    <row r="2044" spans="1:34" ht="15.75" customHeight="1" x14ac:dyDescent="0.25">
      <c r="A2044" s="3"/>
      <c r="B2044" s="3"/>
      <c r="C2044" s="18"/>
      <c r="D2044" s="18"/>
      <c r="E2044" s="19"/>
      <c r="F2044" s="19"/>
      <c r="G2044" s="20"/>
      <c r="H2044" s="3"/>
      <c r="I2044" s="19"/>
      <c r="J2044" s="19"/>
      <c r="K2044" s="19"/>
      <c r="L2044" s="19"/>
      <c r="M2044" s="19"/>
      <c r="N2044" s="19"/>
      <c r="O2044" s="19"/>
      <c r="P2044" s="19"/>
      <c r="Q2044" s="19"/>
      <c r="R2044" s="19"/>
      <c r="S2044" s="19"/>
      <c r="T2044" s="19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</row>
    <row r="2045" spans="1:34" ht="15.75" customHeight="1" x14ac:dyDescent="0.25">
      <c r="A2045" s="3"/>
      <c r="B2045" s="3"/>
      <c r="C2045" s="18"/>
      <c r="D2045" s="18"/>
      <c r="E2045" s="19"/>
      <c r="F2045" s="19"/>
      <c r="G2045" s="20"/>
      <c r="H2045" s="3"/>
      <c r="I2045" s="19"/>
      <c r="J2045" s="19"/>
      <c r="K2045" s="19"/>
      <c r="L2045" s="19"/>
      <c r="M2045" s="19"/>
      <c r="N2045" s="19"/>
      <c r="O2045" s="19"/>
      <c r="P2045" s="19"/>
      <c r="Q2045" s="19"/>
      <c r="R2045" s="19"/>
      <c r="S2045" s="19"/>
      <c r="T2045" s="19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</row>
    <row r="2046" spans="1:34" ht="15.75" customHeight="1" x14ac:dyDescent="0.25">
      <c r="A2046" s="3"/>
      <c r="B2046" s="3"/>
      <c r="C2046" s="18"/>
      <c r="D2046" s="18"/>
      <c r="E2046" s="19"/>
      <c r="F2046" s="19"/>
      <c r="G2046" s="20"/>
      <c r="H2046" s="3"/>
      <c r="I2046" s="19"/>
      <c r="J2046" s="19"/>
      <c r="K2046" s="19"/>
      <c r="L2046" s="19"/>
      <c r="M2046" s="19"/>
      <c r="N2046" s="19"/>
      <c r="O2046" s="19"/>
      <c r="P2046" s="19"/>
      <c r="Q2046" s="19"/>
      <c r="R2046" s="19"/>
      <c r="S2046" s="19"/>
      <c r="T2046" s="19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</row>
    <row r="2047" spans="1:34" ht="15.75" customHeight="1" x14ac:dyDescent="0.25">
      <c r="A2047" s="3"/>
      <c r="B2047" s="3"/>
      <c r="C2047" s="18"/>
      <c r="D2047" s="18"/>
      <c r="E2047" s="19"/>
      <c r="F2047" s="19"/>
      <c r="G2047" s="20"/>
      <c r="H2047" s="3"/>
      <c r="I2047" s="19"/>
      <c r="J2047" s="19"/>
      <c r="K2047" s="19"/>
      <c r="L2047" s="19"/>
      <c r="M2047" s="19"/>
      <c r="N2047" s="19"/>
      <c r="O2047" s="19"/>
      <c r="P2047" s="19"/>
      <c r="Q2047" s="19"/>
      <c r="R2047" s="19"/>
      <c r="S2047" s="19"/>
      <c r="T2047" s="19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</row>
    <row r="2048" spans="1:34" ht="15.75" customHeight="1" x14ac:dyDescent="0.25">
      <c r="A2048" s="3"/>
      <c r="B2048" s="3"/>
      <c r="C2048" s="18"/>
      <c r="D2048" s="18"/>
      <c r="E2048" s="19"/>
      <c r="F2048" s="19"/>
      <c r="G2048" s="20"/>
      <c r="H2048" s="3"/>
      <c r="I2048" s="19"/>
      <c r="J2048" s="19"/>
      <c r="K2048" s="19"/>
      <c r="L2048" s="19"/>
      <c r="M2048" s="19"/>
      <c r="N2048" s="19"/>
      <c r="O2048" s="19"/>
      <c r="P2048" s="19"/>
      <c r="Q2048" s="19"/>
      <c r="R2048" s="19"/>
      <c r="S2048" s="19"/>
      <c r="T2048" s="19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</row>
    <row r="2049" spans="1:34" ht="15.75" customHeight="1" x14ac:dyDescent="0.25">
      <c r="A2049" s="3"/>
      <c r="B2049" s="3"/>
      <c r="C2049" s="18"/>
      <c r="D2049" s="18"/>
      <c r="E2049" s="19"/>
      <c r="F2049" s="19"/>
      <c r="G2049" s="20"/>
      <c r="H2049" s="3"/>
      <c r="I2049" s="19"/>
      <c r="J2049" s="19"/>
      <c r="K2049" s="19"/>
      <c r="L2049" s="19"/>
      <c r="M2049" s="19"/>
      <c r="N2049" s="19"/>
      <c r="O2049" s="19"/>
      <c r="P2049" s="19"/>
      <c r="Q2049" s="19"/>
      <c r="R2049" s="19"/>
      <c r="S2049" s="19"/>
      <c r="T2049" s="19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</row>
    <row r="2050" spans="1:34" ht="15.75" customHeight="1" x14ac:dyDescent="0.25">
      <c r="A2050" s="3"/>
      <c r="B2050" s="3"/>
      <c r="C2050" s="18"/>
      <c r="D2050" s="18"/>
      <c r="E2050" s="19"/>
      <c r="F2050" s="19"/>
      <c r="G2050" s="20"/>
      <c r="H2050" s="3"/>
      <c r="I2050" s="19"/>
      <c r="J2050" s="19"/>
      <c r="K2050" s="19"/>
      <c r="L2050" s="19"/>
      <c r="M2050" s="19"/>
      <c r="N2050" s="19"/>
      <c r="O2050" s="19"/>
      <c r="P2050" s="19"/>
      <c r="Q2050" s="19"/>
      <c r="R2050" s="19"/>
      <c r="S2050" s="19"/>
      <c r="T2050" s="19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</row>
    <row r="2051" spans="1:34" ht="15.75" customHeight="1" x14ac:dyDescent="0.25">
      <c r="A2051" s="3"/>
      <c r="B2051" s="3"/>
      <c r="C2051" s="18"/>
      <c r="D2051" s="18"/>
      <c r="E2051" s="19"/>
      <c r="F2051" s="19"/>
      <c r="G2051" s="20"/>
      <c r="H2051" s="3"/>
      <c r="I2051" s="19"/>
      <c r="J2051" s="19"/>
      <c r="K2051" s="19"/>
      <c r="L2051" s="19"/>
      <c r="M2051" s="19"/>
      <c r="N2051" s="19"/>
      <c r="O2051" s="19"/>
      <c r="P2051" s="19"/>
      <c r="Q2051" s="19"/>
      <c r="R2051" s="19"/>
      <c r="S2051" s="19"/>
      <c r="T2051" s="19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</row>
    <row r="2052" spans="1:34" ht="15.75" customHeight="1" x14ac:dyDescent="0.25">
      <c r="A2052" s="3"/>
      <c r="B2052" s="3"/>
      <c r="C2052" s="18"/>
      <c r="D2052" s="18"/>
      <c r="E2052" s="19"/>
      <c r="F2052" s="19"/>
      <c r="G2052" s="20"/>
      <c r="H2052" s="3"/>
      <c r="I2052" s="19"/>
      <c r="J2052" s="19"/>
      <c r="K2052" s="19"/>
      <c r="L2052" s="19"/>
      <c r="M2052" s="19"/>
      <c r="N2052" s="19"/>
      <c r="O2052" s="19"/>
      <c r="P2052" s="19"/>
      <c r="Q2052" s="19"/>
      <c r="R2052" s="19"/>
      <c r="S2052" s="19"/>
      <c r="T2052" s="19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</row>
    <row r="2053" spans="1:34" ht="15.75" customHeight="1" x14ac:dyDescent="0.25">
      <c r="A2053" s="3"/>
      <c r="B2053" s="3"/>
      <c r="C2053" s="18"/>
      <c r="D2053" s="18"/>
      <c r="E2053" s="19"/>
      <c r="F2053" s="19"/>
      <c r="G2053" s="20"/>
      <c r="H2053" s="3"/>
      <c r="I2053" s="19"/>
      <c r="J2053" s="19"/>
      <c r="K2053" s="19"/>
      <c r="L2053" s="19"/>
      <c r="M2053" s="19"/>
      <c r="N2053" s="19"/>
      <c r="O2053" s="19"/>
      <c r="P2053" s="19"/>
      <c r="Q2053" s="19"/>
      <c r="R2053" s="19"/>
      <c r="S2053" s="19"/>
      <c r="T2053" s="19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</row>
    <row r="2054" spans="1:34" ht="15.75" customHeight="1" x14ac:dyDescent="0.25">
      <c r="A2054" s="3"/>
      <c r="B2054" s="3"/>
      <c r="C2054" s="18"/>
      <c r="D2054" s="18"/>
      <c r="E2054" s="19"/>
      <c r="F2054" s="19"/>
      <c r="G2054" s="20"/>
      <c r="H2054" s="3"/>
      <c r="I2054" s="19"/>
      <c r="J2054" s="19"/>
      <c r="K2054" s="19"/>
      <c r="L2054" s="19"/>
      <c r="M2054" s="19"/>
      <c r="N2054" s="19"/>
      <c r="O2054" s="19"/>
      <c r="P2054" s="19"/>
      <c r="Q2054" s="19"/>
      <c r="R2054" s="19"/>
      <c r="S2054" s="19"/>
      <c r="T2054" s="19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</row>
    <row r="2055" spans="1:34" ht="15.75" customHeight="1" x14ac:dyDescent="0.25">
      <c r="A2055" s="3"/>
      <c r="B2055" s="3"/>
      <c r="C2055" s="18"/>
      <c r="D2055" s="18"/>
      <c r="E2055" s="19"/>
      <c r="F2055" s="19"/>
      <c r="G2055" s="20"/>
      <c r="H2055" s="3"/>
      <c r="I2055" s="19"/>
      <c r="J2055" s="19"/>
      <c r="K2055" s="19"/>
      <c r="L2055" s="19"/>
      <c r="M2055" s="19"/>
      <c r="N2055" s="19"/>
      <c r="O2055" s="19"/>
      <c r="P2055" s="19"/>
      <c r="Q2055" s="19"/>
      <c r="R2055" s="19"/>
      <c r="S2055" s="19"/>
      <c r="T2055" s="19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</row>
    <row r="2056" spans="1:34" ht="15.75" customHeight="1" x14ac:dyDescent="0.25">
      <c r="A2056" s="3"/>
      <c r="B2056" s="3"/>
      <c r="C2056" s="18"/>
      <c r="D2056" s="18"/>
      <c r="E2056" s="19"/>
      <c r="F2056" s="19"/>
      <c r="G2056" s="20"/>
      <c r="H2056" s="3"/>
      <c r="I2056" s="19"/>
      <c r="J2056" s="19"/>
      <c r="K2056" s="19"/>
      <c r="L2056" s="19"/>
      <c r="M2056" s="19"/>
      <c r="N2056" s="19"/>
      <c r="O2056" s="19"/>
      <c r="P2056" s="19"/>
      <c r="Q2056" s="19"/>
      <c r="R2056" s="19"/>
      <c r="S2056" s="19"/>
      <c r="T2056" s="19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</row>
    <row r="2057" spans="1:34" ht="15.75" customHeight="1" x14ac:dyDescent="0.25">
      <c r="A2057" s="3"/>
      <c r="B2057" s="3"/>
      <c r="C2057" s="18"/>
      <c r="D2057" s="18"/>
      <c r="E2057" s="19"/>
      <c r="F2057" s="19"/>
      <c r="G2057" s="20"/>
      <c r="H2057" s="3"/>
      <c r="I2057" s="19"/>
      <c r="J2057" s="19"/>
      <c r="K2057" s="19"/>
      <c r="L2057" s="19"/>
      <c r="M2057" s="19"/>
      <c r="N2057" s="19"/>
      <c r="O2057" s="19"/>
      <c r="P2057" s="19"/>
      <c r="Q2057" s="19"/>
      <c r="R2057" s="19"/>
      <c r="S2057" s="19"/>
      <c r="T2057" s="19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</row>
    <row r="2058" spans="1:34" ht="15.75" customHeight="1" x14ac:dyDescent="0.25">
      <c r="A2058" s="3"/>
      <c r="B2058" s="3"/>
      <c r="C2058" s="18"/>
      <c r="D2058" s="18"/>
      <c r="E2058" s="19"/>
      <c r="F2058" s="19"/>
      <c r="G2058" s="20"/>
      <c r="H2058" s="3"/>
      <c r="I2058" s="19"/>
      <c r="J2058" s="19"/>
      <c r="K2058" s="19"/>
      <c r="L2058" s="19"/>
      <c r="M2058" s="19"/>
      <c r="N2058" s="19"/>
      <c r="O2058" s="19"/>
      <c r="P2058" s="19"/>
      <c r="Q2058" s="19"/>
      <c r="R2058" s="19"/>
      <c r="S2058" s="19"/>
      <c r="T2058" s="19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</row>
    <row r="2059" spans="1:34" ht="15.75" customHeight="1" x14ac:dyDescent="0.25">
      <c r="A2059" s="3"/>
      <c r="B2059" s="3"/>
      <c r="C2059" s="18"/>
      <c r="D2059" s="18"/>
      <c r="E2059" s="19"/>
      <c r="F2059" s="19"/>
      <c r="G2059" s="20"/>
      <c r="H2059" s="3"/>
      <c r="I2059" s="19"/>
      <c r="J2059" s="19"/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</row>
    <row r="2060" spans="1:34" ht="15.75" customHeight="1" x14ac:dyDescent="0.25">
      <c r="A2060" s="3"/>
      <c r="B2060" s="3"/>
      <c r="C2060" s="18"/>
      <c r="D2060" s="18"/>
      <c r="E2060" s="19"/>
      <c r="F2060" s="19"/>
      <c r="G2060" s="20"/>
      <c r="H2060" s="3"/>
      <c r="I2060" s="19"/>
      <c r="J2060" s="19"/>
      <c r="K2060" s="19"/>
      <c r="L2060" s="19"/>
      <c r="M2060" s="19"/>
      <c r="N2060" s="19"/>
      <c r="O2060" s="19"/>
      <c r="P2060" s="19"/>
      <c r="Q2060" s="19"/>
      <c r="R2060" s="19"/>
      <c r="S2060" s="19"/>
      <c r="T2060" s="19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</row>
    <row r="2061" spans="1:34" ht="15.75" customHeight="1" x14ac:dyDescent="0.25">
      <c r="A2061" s="3"/>
      <c r="B2061" s="3"/>
      <c r="C2061" s="18"/>
      <c r="D2061" s="18"/>
      <c r="E2061" s="19"/>
      <c r="F2061" s="19"/>
      <c r="G2061" s="20"/>
      <c r="H2061" s="3"/>
      <c r="I2061" s="19"/>
      <c r="J2061" s="19"/>
      <c r="K2061" s="19"/>
      <c r="L2061" s="19"/>
      <c r="M2061" s="19"/>
      <c r="N2061" s="19"/>
      <c r="O2061" s="19"/>
      <c r="P2061" s="19"/>
      <c r="Q2061" s="19"/>
      <c r="R2061" s="19"/>
      <c r="S2061" s="19"/>
      <c r="T2061" s="19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</row>
    <row r="2062" spans="1:34" ht="15.75" customHeight="1" x14ac:dyDescent="0.25">
      <c r="A2062" s="3"/>
      <c r="B2062" s="3"/>
      <c r="C2062" s="18"/>
      <c r="D2062" s="18"/>
      <c r="E2062" s="19"/>
      <c r="F2062" s="19"/>
      <c r="G2062" s="20"/>
      <c r="H2062" s="3"/>
      <c r="I2062" s="19"/>
      <c r="J2062" s="19"/>
      <c r="K2062" s="19"/>
      <c r="L2062" s="19"/>
      <c r="M2062" s="19"/>
      <c r="N2062" s="19"/>
      <c r="O2062" s="19"/>
      <c r="P2062" s="19"/>
      <c r="Q2062" s="19"/>
      <c r="R2062" s="19"/>
      <c r="S2062" s="19"/>
      <c r="T2062" s="19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</row>
    <row r="2063" spans="1:34" ht="15.75" customHeight="1" x14ac:dyDescent="0.25">
      <c r="A2063" s="3"/>
      <c r="B2063" s="3"/>
      <c r="C2063" s="18"/>
      <c r="D2063" s="18"/>
      <c r="E2063" s="19"/>
      <c r="F2063" s="19"/>
      <c r="G2063" s="20"/>
      <c r="H2063" s="3"/>
      <c r="I2063" s="19"/>
      <c r="J2063" s="19"/>
      <c r="K2063" s="19"/>
      <c r="L2063" s="19"/>
      <c r="M2063" s="19"/>
      <c r="N2063" s="19"/>
      <c r="O2063" s="19"/>
      <c r="P2063" s="19"/>
      <c r="Q2063" s="19"/>
      <c r="R2063" s="19"/>
      <c r="S2063" s="19"/>
      <c r="T2063" s="19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</row>
    <row r="2064" spans="1:34" ht="15.75" customHeight="1" x14ac:dyDescent="0.25">
      <c r="A2064" s="3"/>
      <c r="B2064" s="3"/>
      <c r="C2064" s="18"/>
      <c r="D2064" s="18"/>
      <c r="E2064" s="19"/>
      <c r="F2064" s="19"/>
      <c r="G2064" s="20"/>
      <c r="H2064" s="3"/>
      <c r="I2064" s="19"/>
      <c r="J2064" s="19"/>
      <c r="K2064" s="19"/>
      <c r="L2064" s="19"/>
      <c r="M2064" s="19"/>
      <c r="N2064" s="19"/>
      <c r="O2064" s="19"/>
      <c r="P2064" s="19"/>
      <c r="Q2064" s="19"/>
      <c r="R2064" s="19"/>
      <c r="S2064" s="19"/>
      <c r="T2064" s="19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</row>
    <row r="2065" spans="1:34" ht="15.75" customHeight="1" x14ac:dyDescent="0.25">
      <c r="A2065" s="3"/>
      <c r="B2065" s="3"/>
      <c r="C2065" s="18"/>
      <c r="D2065" s="18"/>
      <c r="E2065" s="19"/>
      <c r="F2065" s="19"/>
      <c r="G2065" s="20"/>
      <c r="H2065" s="3"/>
      <c r="I2065" s="19"/>
      <c r="J2065" s="19"/>
      <c r="K2065" s="19"/>
      <c r="L2065" s="19"/>
      <c r="M2065" s="19"/>
      <c r="N2065" s="19"/>
      <c r="O2065" s="19"/>
      <c r="P2065" s="19"/>
      <c r="Q2065" s="19"/>
      <c r="R2065" s="19"/>
      <c r="S2065" s="19"/>
      <c r="T2065" s="19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</row>
    <row r="2066" spans="1:34" ht="15.75" customHeight="1" x14ac:dyDescent="0.25">
      <c r="A2066" s="3"/>
      <c r="B2066" s="3"/>
      <c r="C2066" s="18"/>
      <c r="D2066" s="18"/>
      <c r="E2066" s="19"/>
      <c r="F2066" s="19"/>
      <c r="G2066" s="20"/>
      <c r="H2066" s="3"/>
      <c r="I2066" s="19"/>
      <c r="J2066" s="19"/>
      <c r="K2066" s="19"/>
      <c r="L2066" s="19"/>
      <c r="M2066" s="19"/>
      <c r="N2066" s="19"/>
      <c r="O2066" s="19"/>
      <c r="P2066" s="19"/>
      <c r="Q2066" s="19"/>
      <c r="R2066" s="19"/>
      <c r="S2066" s="19"/>
      <c r="T2066" s="19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</row>
    <row r="2067" spans="1:34" ht="15.75" customHeight="1" x14ac:dyDescent="0.25">
      <c r="A2067" s="3"/>
      <c r="B2067" s="3"/>
      <c r="C2067" s="18"/>
      <c r="D2067" s="18"/>
      <c r="E2067" s="19"/>
      <c r="F2067" s="19"/>
      <c r="G2067" s="20"/>
      <c r="H2067" s="3"/>
      <c r="I2067" s="19"/>
      <c r="J2067" s="19"/>
      <c r="K2067" s="19"/>
      <c r="L2067" s="19"/>
      <c r="M2067" s="19"/>
      <c r="N2067" s="19"/>
      <c r="O2067" s="19"/>
      <c r="P2067" s="19"/>
      <c r="Q2067" s="19"/>
      <c r="R2067" s="19"/>
      <c r="S2067" s="19"/>
      <c r="T2067" s="19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</row>
    <row r="2068" spans="1:34" ht="15.75" customHeight="1" x14ac:dyDescent="0.25">
      <c r="A2068" s="3"/>
      <c r="B2068" s="3"/>
      <c r="C2068" s="18"/>
      <c r="D2068" s="18"/>
      <c r="E2068" s="19"/>
      <c r="F2068" s="19"/>
      <c r="G2068" s="20"/>
      <c r="H2068" s="3"/>
      <c r="I2068" s="19"/>
      <c r="J2068" s="19"/>
      <c r="K2068" s="19"/>
      <c r="L2068" s="19"/>
      <c r="M2068" s="19"/>
      <c r="N2068" s="19"/>
      <c r="O2068" s="19"/>
      <c r="P2068" s="19"/>
      <c r="Q2068" s="19"/>
      <c r="R2068" s="19"/>
      <c r="S2068" s="19"/>
      <c r="T2068" s="19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</row>
    <row r="2069" spans="1:34" ht="15.75" customHeight="1" x14ac:dyDescent="0.25">
      <c r="A2069" s="3"/>
      <c r="B2069" s="3"/>
      <c r="C2069" s="18"/>
      <c r="D2069" s="18"/>
      <c r="E2069" s="19"/>
      <c r="F2069" s="19"/>
      <c r="G2069" s="20"/>
      <c r="H2069" s="3"/>
      <c r="I2069" s="19"/>
      <c r="J2069" s="19"/>
      <c r="K2069" s="19"/>
      <c r="L2069" s="19"/>
      <c r="M2069" s="19"/>
      <c r="N2069" s="19"/>
      <c r="O2069" s="19"/>
      <c r="P2069" s="19"/>
      <c r="Q2069" s="19"/>
      <c r="R2069" s="19"/>
      <c r="S2069" s="19"/>
      <c r="T2069" s="19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</row>
    <row r="2070" spans="1:34" ht="15.75" customHeight="1" x14ac:dyDescent="0.25">
      <c r="A2070" s="3"/>
      <c r="B2070" s="3"/>
      <c r="C2070" s="18"/>
      <c r="D2070" s="18"/>
      <c r="E2070" s="19"/>
      <c r="F2070" s="19"/>
      <c r="G2070" s="20"/>
      <c r="H2070" s="3"/>
      <c r="I2070" s="19"/>
      <c r="J2070" s="19"/>
      <c r="K2070" s="19"/>
      <c r="L2070" s="19"/>
      <c r="M2070" s="19"/>
      <c r="N2070" s="19"/>
      <c r="O2070" s="19"/>
      <c r="P2070" s="19"/>
      <c r="Q2070" s="19"/>
      <c r="R2070" s="19"/>
      <c r="S2070" s="19"/>
      <c r="T2070" s="19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</row>
    <row r="2071" spans="1:34" ht="15.75" customHeight="1" x14ac:dyDescent="0.25">
      <c r="A2071" s="3"/>
      <c r="B2071" s="3"/>
      <c r="C2071" s="18"/>
      <c r="D2071" s="18"/>
      <c r="E2071" s="19"/>
      <c r="F2071" s="19"/>
      <c r="G2071" s="20"/>
      <c r="H2071" s="3"/>
      <c r="I2071" s="19"/>
      <c r="J2071" s="19"/>
      <c r="K2071" s="19"/>
      <c r="L2071" s="19"/>
      <c r="M2071" s="19"/>
      <c r="N2071" s="19"/>
      <c r="O2071" s="19"/>
      <c r="P2071" s="19"/>
      <c r="Q2071" s="19"/>
      <c r="R2071" s="19"/>
      <c r="S2071" s="19"/>
      <c r="T2071" s="19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</row>
    <row r="2072" spans="1:34" ht="15.75" customHeight="1" x14ac:dyDescent="0.25">
      <c r="A2072" s="3"/>
      <c r="B2072" s="3"/>
      <c r="C2072" s="18"/>
      <c r="D2072" s="18"/>
      <c r="E2072" s="19"/>
      <c r="F2072" s="19"/>
      <c r="G2072" s="20"/>
      <c r="H2072" s="3"/>
      <c r="I2072" s="19"/>
      <c r="J2072" s="19"/>
      <c r="K2072" s="19"/>
      <c r="L2072" s="19"/>
      <c r="M2072" s="19"/>
      <c r="N2072" s="19"/>
      <c r="O2072" s="19"/>
      <c r="P2072" s="19"/>
      <c r="Q2072" s="19"/>
      <c r="R2072" s="19"/>
      <c r="S2072" s="19"/>
      <c r="T2072" s="19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</row>
    <row r="2073" spans="1:34" ht="15.75" customHeight="1" x14ac:dyDescent="0.25">
      <c r="A2073" s="3"/>
      <c r="B2073" s="3"/>
      <c r="C2073" s="18"/>
      <c r="D2073" s="18"/>
      <c r="E2073" s="19"/>
      <c r="F2073" s="19"/>
      <c r="G2073" s="20"/>
      <c r="H2073" s="3"/>
      <c r="I2073" s="19"/>
      <c r="J2073" s="19"/>
      <c r="K2073" s="19"/>
      <c r="L2073" s="19"/>
      <c r="M2073" s="19"/>
      <c r="N2073" s="19"/>
      <c r="O2073" s="19"/>
      <c r="P2073" s="19"/>
      <c r="Q2073" s="19"/>
      <c r="R2073" s="19"/>
      <c r="S2073" s="19"/>
      <c r="T2073" s="19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</row>
    <row r="2074" spans="1:34" ht="15.75" customHeight="1" x14ac:dyDescent="0.25">
      <c r="A2074" s="3"/>
      <c r="B2074" s="3"/>
      <c r="C2074" s="18"/>
      <c r="D2074" s="18"/>
      <c r="E2074" s="19"/>
      <c r="F2074" s="19"/>
      <c r="G2074" s="20"/>
      <c r="H2074" s="3"/>
      <c r="I2074" s="19"/>
      <c r="J2074" s="19"/>
      <c r="K2074" s="19"/>
      <c r="L2074" s="19"/>
      <c r="M2074" s="19"/>
      <c r="N2074" s="19"/>
      <c r="O2074" s="19"/>
      <c r="P2074" s="19"/>
      <c r="Q2074" s="19"/>
      <c r="R2074" s="19"/>
      <c r="S2074" s="19"/>
      <c r="T2074" s="19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</row>
    <row r="2075" spans="1:34" ht="15.75" customHeight="1" x14ac:dyDescent="0.25">
      <c r="A2075" s="3"/>
      <c r="B2075" s="3"/>
      <c r="C2075" s="18"/>
      <c r="D2075" s="18"/>
      <c r="E2075" s="19"/>
      <c r="F2075" s="19"/>
      <c r="G2075" s="20"/>
      <c r="H2075" s="3"/>
      <c r="I2075" s="19"/>
      <c r="J2075" s="19"/>
      <c r="K2075" s="19"/>
      <c r="L2075" s="19"/>
      <c r="M2075" s="19"/>
      <c r="N2075" s="19"/>
      <c r="O2075" s="19"/>
      <c r="P2075" s="19"/>
      <c r="Q2075" s="19"/>
      <c r="R2075" s="19"/>
      <c r="S2075" s="19"/>
      <c r="T2075" s="19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</row>
    <row r="2076" spans="1:34" ht="15.75" customHeight="1" x14ac:dyDescent="0.25">
      <c r="A2076" s="3"/>
      <c r="B2076" s="3"/>
      <c r="C2076" s="18"/>
      <c r="D2076" s="18"/>
      <c r="E2076" s="19"/>
      <c r="F2076" s="19"/>
      <c r="G2076" s="20"/>
      <c r="H2076" s="3"/>
      <c r="I2076" s="19"/>
      <c r="J2076" s="19"/>
      <c r="K2076" s="19"/>
      <c r="L2076" s="19"/>
      <c r="M2076" s="19"/>
      <c r="N2076" s="19"/>
      <c r="O2076" s="19"/>
      <c r="P2076" s="19"/>
      <c r="Q2076" s="19"/>
      <c r="R2076" s="19"/>
      <c r="S2076" s="19"/>
      <c r="T2076" s="19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</row>
    <row r="2077" spans="1:34" ht="15.75" customHeight="1" x14ac:dyDescent="0.25">
      <c r="A2077" s="3"/>
      <c r="B2077" s="3"/>
      <c r="C2077" s="18"/>
      <c r="D2077" s="18"/>
      <c r="E2077" s="19"/>
      <c r="F2077" s="19"/>
      <c r="G2077" s="20"/>
      <c r="H2077" s="3"/>
      <c r="I2077" s="19"/>
      <c r="J2077" s="19"/>
      <c r="K2077" s="19"/>
      <c r="L2077" s="19"/>
      <c r="M2077" s="19"/>
      <c r="N2077" s="19"/>
      <c r="O2077" s="19"/>
      <c r="P2077" s="19"/>
      <c r="Q2077" s="19"/>
      <c r="R2077" s="19"/>
      <c r="S2077" s="19"/>
      <c r="T2077" s="19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</row>
    <row r="2078" spans="1:34" ht="15.75" customHeight="1" x14ac:dyDescent="0.25">
      <c r="A2078" s="3"/>
      <c r="B2078" s="3"/>
      <c r="C2078" s="18"/>
      <c r="D2078" s="18"/>
      <c r="E2078" s="19"/>
      <c r="F2078" s="19"/>
      <c r="G2078" s="20"/>
      <c r="H2078" s="3"/>
      <c r="I2078" s="19"/>
      <c r="J2078" s="19"/>
      <c r="K2078" s="19"/>
      <c r="L2078" s="19"/>
      <c r="M2078" s="19"/>
      <c r="N2078" s="19"/>
      <c r="O2078" s="19"/>
      <c r="P2078" s="19"/>
      <c r="Q2078" s="19"/>
      <c r="R2078" s="19"/>
      <c r="S2078" s="19"/>
      <c r="T2078" s="19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</row>
    <row r="2079" spans="1:34" ht="15.75" customHeight="1" x14ac:dyDescent="0.25">
      <c r="A2079" s="3"/>
      <c r="B2079" s="3"/>
      <c r="C2079" s="18"/>
      <c r="D2079" s="18"/>
      <c r="E2079" s="19"/>
      <c r="F2079" s="19"/>
      <c r="G2079" s="20"/>
      <c r="H2079" s="3"/>
      <c r="I2079" s="19"/>
      <c r="J2079" s="19"/>
      <c r="K2079" s="19"/>
      <c r="L2079" s="19"/>
      <c r="M2079" s="19"/>
      <c r="N2079" s="19"/>
      <c r="O2079" s="19"/>
      <c r="P2079" s="19"/>
      <c r="Q2079" s="19"/>
      <c r="R2079" s="19"/>
      <c r="S2079" s="19"/>
      <c r="T2079" s="19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</row>
    <row r="2080" spans="1:34" ht="15.75" customHeight="1" x14ac:dyDescent="0.25">
      <c r="A2080" s="3"/>
      <c r="B2080" s="3"/>
      <c r="C2080" s="18"/>
      <c r="D2080" s="18"/>
      <c r="E2080" s="19"/>
      <c r="F2080" s="19"/>
      <c r="G2080" s="20"/>
      <c r="H2080" s="3"/>
      <c r="I2080" s="19"/>
      <c r="J2080" s="19"/>
      <c r="K2080" s="19"/>
      <c r="L2080" s="19"/>
      <c r="M2080" s="19"/>
      <c r="N2080" s="19"/>
      <c r="O2080" s="19"/>
      <c r="P2080" s="19"/>
      <c r="Q2080" s="19"/>
      <c r="R2080" s="19"/>
      <c r="S2080" s="19"/>
      <c r="T2080" s="19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</row>
    <row r="2081" spans="1:34" ht="15.75" customHeight="1" x14ac:dyDescent="0.25">
      <c r="A2081" s="3"/>
      <c r="B2081" s="3"/>
      <c r="C2081" s="18"/>
      <c r="D2081" s="18"/>
      <c r="E2081" s="19"/>
      <c r="F2081" s="19"/>
      <c r="G2081" s="20"/>
      <c r="H2081" s="3"/>
      <c r="I2081" s="19"/>
      <c r="J2081" s="19"/>
      <c r="K2081" s="19"/>
      <c r="L2081" s="19"/>
      <c r="M2081" s="19"/>
      <c r="N2081" s="19"/>
      <c r="O2081" s="19"/>
      <c r="P2081" s="19"/>
      <c r="Q2081" s="19"/>
      <c r="R2081" s="19"/>
      <c r="S2081" s="19"/>
      <c r="T2081" s="19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</row>
    <row r="2082" spans="1:34" ht="15.75" customHeight="1" x14ac:dyDescent="0.25">
      <c r="A2082" s="3"/>
      <c r="B2082" s="3"/>
      <c r="C2082" s="18"/>
      <c r="D2082" s="18"/>
      <c r="E2082" s="19"/>
      <c r="F2082" s="19"/>
      <c r="G2082" s="20"/>
      <c r="H2082" s="3"/>
      <c r="I2082" s="19"/>
      <c r="J2082" s="19"/>
      <c r="K2082" s="19"/>
      <c r="L2082" s="19"/>
      <c r="M2082" s="19"/>
      <c r="N2082" s="19"/>
      <c r="O2082" s="19"/>
      <c r="P2082" s="19"/>
      <c r="Q2082" s="19"/>
      <c r="R2082" s="19"/>
      <c r="S2082" s="19"/>
      <c r="T2082" s="19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</row>
    <row r="2083" spans="1:34" ht="15.75" customHeight="1" x14ac:dyDescent="0.25">
      <c r="A2083" s="3"/>
      <c r="B2083" s="3"/>
      <c r="C2083" s="18"/>
      <c r="D2083" s="18"/>
      <c r="E2083" s="19"/>
      <c r="F2083" s="19"/>
      <c r="G2083" s="20"/>
      <c r="H2083" s="3"/>
      <c r="I2083" s="19"/>
      <c r="J2083" s="19"/>
      <c r="K2083" s="19"/>
      <c r="L2083" s="19"/>
      <c r="M2083" s="19"/>
      <c r="N2083" s="19"/>
      <c r="O2083" s="19"/>
      <c r="P2083" s="19"/>
      <c r="Q2083" s="19"/>
      <c r="R2083" s="19"/>
      <c r="S2083" s="19"/>
      <c r="T2083" s="19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</row>
    <row r="2084" spans="1:34" ht="15.75" customHeight="1" x14ac:dyDescent="0.25">
      <c r="A2084" s="3"/>
      <c r="B2084" s="3"/>
      <c r="C2084" s="18"/>
      <c r="D2084" s="18"/>
      <c r="E2084" s="19"/>
      <c r="F2084" s="19"/>
      <c r="G2084" s="20"/>
      <c r="H2084" s="3"/>
      <c r="I2084" s="19"/>
      <c r="J2084" s="19"/>
      <c r="K2084" s="19"/>
      <c r="L2084" s="19"/>
      <c r="M2084" s="19"/>
      <c r="N2084" s="19"/>
      <c r="O2084" s="19"/>
      <c r="P2084" s="19"/>
      <c r="Q2084" s="19"/>
      <c r="R2084" s="19"/>
      <c r="S2084" s="19"/>
      <c r="T2084" s="19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</row>
    <row r="2085" spans="1:34" ht="15.75" customHeight="1" x14ac:dyDescent="0.25">
      <c r="A2085" s="3"/>
      <c r="B2085" s="3"/>
      <c r="C2085" s="18"/>
      <c r="D2085" s="18"/>
      <c r="E2085" s="19"/>
      <c r="F2085" s="19"/>
      <c r="G2085" s="20"/>
      <c r="H2085" s="3"/>
      <c r="I2085" s="19"/>
      <c r="J2085" s="19"/>
      <c r="K2085" s="19"/>
      <c r="L2085" s="19"/>
      <c r="M2085" s="19"/>
      <c r="N2085" s="19"/>
      <c r="O2085" s="19"/>
      <c r="P2085" s="19"/>
      <c r="Q2085" s="19"/>
      <c r="R2085" s="19"/>
      <c r="S2085" s="19"/>
      <c r="T2085" s="19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</row>
    <row r="2086" spans="1:34" ht="15.75" customHeight="1" x14ac:dyDescent="0.25">
      <c r="A2086" s="3"/>
      <c r="B2086" s="3"/>
      <c r="C2086" s="18"/>
      <c r="D2086" s="18"/>
      <c r="E2086" s="19"/>
      <c r="F2086" s="19"/>
      <c r="G2086" s="20"/>
      <c r="H2086" s="3"/>
      <c r="I2086" s="19"/>
      <c r="J2086" s="19"/>
      <c r="K2086" s="19"/>
      <c r="L2086" s="19"/>
      <c r="M2086" s="19"/>
      <c r="N2086" s="19"/>
      <c r="O2086" s="19"/>
      <c r="P2086" s="19"/>
      <c r="Q2086" s="19"/>
      <c r="R2086" s="19"/>
      <c r="S2086" s="19"/>
      <c r="T2086" s="19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</row>
    <row r="2087" spans="1:34" ht="15.75" customHeight="1" x14ac:dyDescent="0.25">
      <c r="A2087" s="3"/>
      <c r="B2087" s="3"/>
      <c r="C2087" s="18"/>
      <c r="D2087" s="18"/>
      <c r="E2087" s="19"/>
      <c r="F2087" s="19"/>
      <c r="G2087" s="20"/>
      <c r="H2087" s="3"/>
      <c r="I2087" s="19"/>
      <c r="J2087" s="19"/>
      <c r="K2087" s="19"/>
      <c r="L2087" s="19"/>
      <c r="M2087" s="19"/>
      <c r="N2087" s="19"/>
      <c r="O2087" s="19"/>
      <c r="P2087" s="19"/>
      <c r="Q2087" s="19"/>
      <c r="R2087" s="19"/>
      <c r="S2087" s="19"/>
      <c r="T2087" s="19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</row>
    <row r="2088" spans="1:34" ht="15.75" customHeight="1" x14ac:dyDescent="0.25">
      <c r="A2088" s="3"/>
      <c r="B2088" s="3"/>
      <c r="C2088" s="18"/>
      <c r="D2088" s="18"/>
      <c r="E2088" s="19"/>
      <c r="F2088" s="19"/>
      <c r="G2088" s="20"/>
      <c r="H2088" s="3"/>
      <c r="I2088" s="19"/>
      <c r="J2088" s="19"/>
      <c r="K2088" s="19"/>
      <c r="L2088" s="19"/>
      <c r="M2088" s="19"/>
      <c r="N2088" s="19"/>
      <c r="O2088" s="19"/>
      <c r="P2088" s="19"/>
      <c r="Q2088" s="19"/>
      <c r="R2088" s="19"/>
      <c r="S2088" s="19"/>
      <c r="T2088" s="19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</row>
    <row r="2089" spans="1:34" ht="15.75" customHeight="1" x14ac:dyDescent="0.25">
      <c r="A2089" s="3"/>
      <c r="B2089" s="3"/>
      <c r="C2089" s="18"/>
      <c r="D2089" s="18"/>
      <c r="E2089" s="19"/>
      <c r="F2089" s="19"/>
      <c r="G2089" s="20"/>
      <c r="H2089" s="3"/>
      <c r="I2089" s="19"/>
      <c r="J2089" s="19"/>
      <c r="K2089" s="19"/>
      <c r="L2089" s="19"/>
      <c r="M2089" s="19"/>
      <c r="N2089" s="19"/>
      <c r="O2089" s="19"/>
      <c r="P2089" s="19"/>
      <c r="Q2089" s="19"/>
      <c r="R2089" s="19"/>
      <c r="S2089" s="19"/>
      <c r="T2089" s="19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</row>
    <row r="2090" spans="1:34" ht="15.75" customHeight="1" x14ac:dyDescent="0.25">
      <c r="A2090" s="3"/>
      <c r="B2090" s="3"/>
      <c r="C2090" s="18"/>
      <c r="D2090" s="18"/>
      <c r="E2090" s="19"/>
      <c r="F2090" s="19"/>
      <c r="G2090" s="20"/>
      <c r="H2090" s="3"/>
      <c r="I2090" s="19"/>
      <c r="J2090" s="19"/>
      <c r="K2090" s="19"/>
      <c r="L2090" s="19"/>
      <c r="M2090" s="19"/>
      <c r="N2090" s="19"/>
      <c r="O2090" s="19"/>
      <c r="P2090" s="19"/>
      <c r="Q2090" s="19"/>
      <c r="R2090" s="19"/>
      <c r="S2090" s="19"/>
      <c r="T2090" s="19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</row>
    <row r="2091" spans="1:34" ht="15.75" customHeight="1" x14ac:dyDescent="0.25">
      <c r="A2091" s="3"/>
      <c r="B2091" s="3"/>
      <c r="C2091" s="18"/>
      <c r="D2091" s="18"/>
      <c r="E2091" s="19"/>
      <c r="F2091" s="19"/>
      <c r="G2091" s="20"/>
      <c r="H2091" s="3"/>
      <c r="I2091" s="19"/>
      <c r="J2091" s="19"/>
      <c r="K2091" s="19"/>
      <c r="L2091" s="19"/>
      <c r="M2091" s="19"/>
      <c r="N2091" s="19"/>
      <c r="O2091" s="19"/>
      <c r="P2091" s="19"/>
      <c r="Q2091" s="19"/>
      <c r="R2091" s="19"/>
      <c r="S2091" s="19"/>
      <c r="T2091" s="19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</row>
    <row r="2092" spans="1:34" ht="15.75" customHeight="1" x14ac:dyDescent="0.25">
      <c r="A2092" s="3"/>
      <c r="B2092" s="3"/>
      <c r="C2092" s="18"/>
      <c r="D2092" s="18"/>
      <c r="E2092" s="19"/>
      <c r="F2092" s="19"/>
      <c r="G2092" s="20"/>
      <c r="H2092" s="3"/>
      <c r="I2092" s="19"/>
      <c r="J2092" s="19"/>
      <c r="K2092" s="19"/>
      <c r="L2092" s="19"/>
      <c r="M2092" s="19"/>
      <c r="N2092" s="19"/>
      <c r="O2092" s="19"/>
      <c r="P2092" s="19"/>
      <c r="Q2092" s="19"/>
      <c r="R2092" s="19"/>
      <c r="S2092" s="19"/>
      <c r="T2092" s="19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</row>
    <row r="2093" spans="1:34" ht="15.75" customHeight="1" x14ac:dyDescent="0.25">
      <c r="A2093" s="3"/>
      <c r="B2093" s="3"/>
      <c r="C2093" s="18"/>
      <c r="D2093" s="18"/>
      <c r="E2093" s="19"/>
      <c r="F2093" s="19"/>
      <c r="G2093" s="20"/>
      <c r="H2093" s="3"/>
      <c r="I2093" s="19"/>
      <c r="J2093" s="19"/>
      <c r="K2093" s="19"/>
      <c r="L2093" s="19"/>
      <c r="M2093" s="19"/>
      <c r="N2093" s="19"/>
      <c r="O2093" s="19"/>
      <c r="P2093" s="19"/>
      <c r="Q2093" s="19"/>
      <c r="R2093" s="19"/>
      <c r="S2093" s="19"/>
      <c r="T2093" s="19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</row>
    <row r="2094" spans="1:34" ht="15.75" customHeight="1" x14ac:dyDescent="0.25">
      <c r="A2094" s="3"/>
      <c r="B2094" s="3"/>
      <c r="C2094" s="18"/>
      <c r="D2094" s="18"/>
      <c r="E2094" s="19"/>
      <c r="F2094" s="19"/>
      <c r="G2094" s="20"/>
      <c r="H2094" s="3"/>
      <c r="I2094" s="19"/>
      <c r="J2094" s="19"/>
      <c r="K2094" s="19"/>
      <c r="L2094" s="19"/>
      <c r="M2094" s="19"/>
      <c r="N2094" s="19"/>
      <c r="O2094" s="19"/>
      <c r="P2094" s="19"/>
      <c r="Q2094" s="19"/>
      <c r="R2094" s="19"/>
      <c r="S2094" s="19"/>
      <c r="T2094" s="19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</row>
    <row r="2095" spans="1:34" ht="15.75" customHeight="1" x14ac:dyDescent="0.25">
      <c r="A2095" s="3"/>
      <c r="B2095" s="3"/>
      <c r="C2095" s="18"/>
      <c r="D2095" s="18"/>
      <c r="E2095" s="19"/>
      <c r="F2095" s="19"/>
      <c r="G2095" s="20"/>
      <c r="H2095" s="3"/>
      <c r="I2095" s="19"/>
      <c r="J2095" s="19"/>
      <c r="K2095" s="19"/>
      <c r="L2095" s="19"/>
      <c r="M2095" s="19"/>
      <c r="N2095" s="19"/>
      <c r="O2095" s="19"/>
      <c r="P2095" s="19"/>
      <c r="Q2095" s="19"/>
      <c r="R2095" s="19"/>
      <c r="S2095" s="19"/>
      <c r="T2095" s="19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</row>
    <row r="2096" spans="1:34" ht="15.75" customHeight="1" x14ac:dyDescent="0.25">
      <c r="A2096" s="3"/>
      <c r="B2096" s="3"/>
      <c r="C2096" s="18"/>
      <c r="D2096" s="18"/>
      <c r="E2096" s="19"/>
      <c r="F2096" s="19"/>
      <c r="G2096" s="20"/>
      <c r="H2096" s="3"/>
      <c r="I2096" s="19"/>
      <c r="J2096" s="19"/>
      <c r="K2096" s="19"/>
      <c r="L2096" s="19"/>
      <c r="M2096" s="19"/>
      <c r="N2096" s="19"/>
      <c r="O2096" s="19"/>
      <c r="P2096" s="19"/>
      <c r="Q2096" s="19"/>
      <c r="R2096" s="19"/>
      <c r="S2096" s="19"/>
      <c r="T2096" s="19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</row>
    <row r="2097" spans="1:34" ht="15.75" customHeight="1" x14ac:dyDescent="0.25">
      <c r="A2097" s="3"/>
      <c r="B2097" s="3"/>
      <c r="C2097" s="18"/>
      <c r="D2097" s="18"/>
      <c r="E2097" s="19"/>
      <c r="F2097" s="19"/>
      <c r="G2097" s="20"/>
      <c r="H2097" s="3"/>
      <c r="I2097" s="19"/>
      <c r="J2097" s="19"/>
      <c r="K2097" s="19"/>
      <c r="L2097" s="19"/>
      <c r="M2097" s="19"/>
      <c r="N2097" s="19"/>
      <c r="O2097" s="19"/>
      <c r="P2097" s="19"/>
      <c r="Q2097" s="19"/>
      <c r="R2097" s="19"/>
      <c r="S2097" s="19"/>
      <c r="T2097" s="19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</row>
    <row r="2098" spans="1:34" ht="15.75" customHeight="1" x14ac:dyDescent="0.25">
      <c r="A2098" s="3"/>
      <c r="B2098" s="3"/>
      <c r="C2098" s="18"/>
      <c r="D2098" s="18"/>
      <c r="E2098" s="19"/>
      <c r="F2098" s="19"/>
      <c r="G2098" s="20"/>
      <c r="H2098" s="3"/>
      <c r="I2098" s="19"/>
      <c r="J2098" s="19"/>
      <c r="K2098" s="19"/>
      <c r="L2098" s="19"/>
      <c r="M2098" s="19"/>
      <c r="N2098" s="19"/>
      <c r="O2098" s="19"/>
      <c r="P2098" s="19"/>
      <c r="Q2098" s="19"/>
      <c r="R2098" s="19"/>
      <c r="S2098" s="19"/>
      <c r="T2098" s="19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</row>
    <row r="2099" spans="1:34" ht="15.75" customHeight="1" x14ac:dyDescent="0.25">
      <c r="A2099" s="3"/>
      <c r="B2099" s="3"/>
      <c r="C2099" s="18"/>
      <c r="D2099" s="18"/>
      <c r="E2099" s="19"/>
      <c r="F2099" s="19"/>
      <c r="G2099" s="20"/>
      <c r="H2099" s="3"/>
      <c r="I2099" s="19"/>
      <c r="J2099" s="19"/>
      <c r="K2099" s="19"/>
      <c r="L2099" s="19"/>
      <c r="M2099" s="19"/>
      <c r="N2099" s="19"/>
      <c r="O2099" s="19"/>
      <c r="P2099" s="19"/>
      <c r="Q2099" s="19"/>
      <c r="R2099" s="19"/>
      <c r="S2099" s="19"/>
      <c r="T2099" s="19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</row>
    <row r="2100" spans="1:34" ht="15.75" customHeight="1" x14ac:dyDescent="0.25">
      <c r="A2100" s="3"/>
      <c r="B2100" s="3"/>
      <c r="C2100" s="18"/>
      <c r="D2100" s="18"/>
      <c r="E2100" s="19"/>
      <c r="F2100" s="19"/>
      <c r="G2100" s="20"/>
      <c r="H2100" s="3"/>
      <c r="I2100" s="19"/>
      <c r="J2100" s="19"/>
      <c r="K2100" s="19"/>
      <c r="L2100" s="19"/>
      <c r="M2100" s="19"/>
      <c r="N2100" s="19"/>
      <c r="O2100" s="19"/>
      <c r="P2100" s="19"/>
      <c r="Q2100" s="19"/>
      <c r="R2100" s="19"/>
      <c r="S2100" s="19"/>
      <c r="T2100" s="19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</row>
    <row r="2101" spans="1:34" ht="15.75" customHeight="1" x14ac:dyDescent="0.25">
      <c r="A2101" s="3"/>
      <c r="B2101" s="3"/>
      <c r="C2101" s="18"/>
      <c r="D2101" s="18"/>
      <c r="E2101" s="19"/>
      <c r="F2101" s="19"/>
      <c r="G2101" s="20"/>
      <c r="H2101" s="3"/>
      <c r="I2101" s="19"/>
      <c r="J2101" s="19"/>
      <c r="K2101" s="19"/>
      <c r="L2101" s="19"/>
      <c r="M2101" s="19"/>
      <c r="N2101" s="19"/>
      <c r="O2101" s="19"/>
      <c r="P2101" s="19"/>
      <c r="Q2101" s="19"/>
      <c r="R2101" s="19"/>
      <c r="S2101" s="19"/>
      <c r="T2101" s="19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</row>
    <row r="2102" spans="1:34" ht="15.75" customHeight="1" x14ac:dyDescent="0.25">
      <c r="A2102" s="3"/>
      <c r="B2102" s="3"/>
      <c r="C2102" s="18"/>
      <c r="D2102" s="18"/>
      <c r="E2102" s="19"/>
      <c r="F2102" s="19"/>
      <c r="G2102" s="20"/>
      <c r="H2102" s="3"/>
      <c r="I2102" s="19"/>
      <c r="J2102" s="19"/>
      <c r="K2102" s="19"/>
      <c r="L2102" s="19"/>
      <c r="M2102" s="19"/>
      <c r="N2102" s="19"/>
      <c r="O2102" s="19"/>
      <c r="P2102" s="19"/>
      <c r="Q2102" s="19"/>
      <c r="R2102" s="19"/>
      <c r="S2102" s="19"/>
      <c r="T2102" s="19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</row>
    <row r="2103" spans="1:34" ht="15.75" customHeight="1" x14ac:dyDescent="0.25">
      <c r="A2103" s="3"/>
      <c r="B2103" s="3"/>
      <c r="C2103" s="18"/>
      <c r="D2103" s="18"/>
      <c r="E2103" s="19"/>
      <c r="F2103" s="19"/>
      <c r="G2103" s="20"/>
      <c r="H2103" s="3"/>
      <c r="I2103" s="19"/>
      <c r="J2103" s="19"/>
      <c r="K2103" s="19"/>
      <c r="L2103" s="19"/>
      <c r="M2103" s="19"/>
      <c r="N2103" s="19"/>
      <c r="O2103" s="19"/>
      <c r="P2103" s="19"/>
      <c r="Q2103" s="19"/>
      <c r="R2103" s="19"/>
      <c r="S2103" s="19"/>
      <c r="T2103" s="19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</row>
    <row r="2104" spans="1:34" ht="15.75" customHeight="1" x14ac:dyDescent="0.25">
      <c r="A2104" s="3"/>
      <c r="B2104" s="3"/>
      <c r="C2104" s="18"/>
      <c r="D2104" s="18"/>
      <c r="E2104" s="19"/>
      <c r="F2104" s="19"/>
      <c r="G2104" s="20"/>
      <c r="H2104" s="3"/>
      <c r="I2104" s="19"/>
      <c r="J2104" s="19"/>
      <c r="K2104" s="19"/>
      <c r="L2104" s="19"/>
      <c r="M2104" s="19"/>
      <c r="N2104" s="19"/>
      <c r="O2104" s="19"/>
      <c r="P2104" s="19"/>
      <c r="Q2104" s="19"/>
      <c r="R2104" s="19"/>
      <c r="S2104" s="19"/>
      <c r="T2104" s="19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</row>
    <row r="2105" spans="1:34" ht="15.75" customHeight="1" x14ac:dyDescent="0.25">
      <c r="A2105" s="3"/>
      <c r="B2105" s="3"/>
      <c r="C2105" s="18"/>
      <c r="D2105" s="18"/>
      <c r="E2105" s="19"/>
      <c r="F2105" s="19"/>
      <c r="G2105" s="20"/>
      <c r="H2105" s="3"/>
      <c r="I2105" s="19"/>
      <c r="J2105" s="19"/>
      <c r="K2105" s="19"/>
      <c r="L2105" s="19"/>
      <c r="M2105" s="19"/>
      <c r="N2105" s="19"/>
      <c r="O2105" s="19"/>
      <c r="P2105" s="19"/>
      <c r="Q2105" s="19"/>
      <c r="R2105" s="19"/>
      <c r="S2105" s="19"/>
      <c r="T2105" s="19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</row>
    <row r="2106" spans="1:34" ht="15.75" customHeight="1" x14ac:dyDescent="0.25">
      <c r="A2106" s="3"/>
      <c r="B2106" s="3"/>
      <c r="C2106" s="18"/>
      <c r="D2106" s="18"/>
      <c r="E2106" s="19"/>
      <c r="F2106" s="19"/>
      <c r="G2106" s="20"/>
      <c r="H2106" s="3"/>
      <c r="I2106" s="19"/>
      <c r="J2106" s="19"/>
      <c r="K2106" s="19"/>
      <c r="L2106" s="19"/>
      <c r="M2106" s="19"/>
      <c r="N2106" s="19"/>
      <c r="O2106" s="19"/>
      <c r="P2106" s="19"/>
      <c r="Q2106" s="19"/>
      <c r="R2106" s="19"/>
      <c r="S2106" s="19"/>
      <c r="T2106" s="19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</row>
    <row r="2107" spans="1:34" ht="15.75" customHeight="1" x14ac:dyDescent="0.25">
      <c r="A2107" s="3"/>
      <c r="B2107" s="3"/>
      <c r="C2107" s="18"/>
      <c r="D2107" s="18"/>
      <c r="E2107" s="19"/>
      <c r="F2107" s="19"/>
      <c r="G2107" s="20"/>
      <c r="H2107" s="3"/>
      <c r="I2107" s="19"/>
      <c r="J2107" s="19"/>
      <c r="K2107" s="19"/>
      <c r="L2107" s="19"/>
      <c r="M2107" s="19"/>
      <c r="N2107" s="19"/>
      <c r="O2107" s="19"/>
      <c r="P2107" s="19"/>
      <c r="Q2107" s="19"/>
      <c r="R2107" s="19"/>
      <c r="S2107" s="19"/>
      <c r="T2107" s="19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</row>
    <row r="2108" spans="1:34" ht="15.75" customHeight="1" x14ac:dyDescent="0.25">
      <c r="A2108" s="3"/>
      <c r="B2108" s="3"/>
      <c r="C2108" s="18"/>
      <c r="D2108" s="18"/>
      <c r="E2108" s="19"/>
      <c r="F2108" s="19"/>
      <c r="G2108" s="20"/>
      <c r="H2108" s="3"/>
      <c r="I2108" s="19"/>
      <c r="J2108" s="19"/>
      <c r="K2108" s="19"/>
      <c r="L2108" s="19"/>
      <c r="M2108" s="19"/>
      <c r="N2108" s="19"/>
      <c r="O2108" s="19"/>
      <c r="P2108" s="19"/>
      <c r="Q2108" s="19"/>
      <c r="R2108" s="19"/>
      <c r="S2108" s="19"/>
      <c r="T2108" s="19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</row>
    <row r="2109" spans="1:34" ht="15.75" customHeight="1" x14ac:dyDescent="0.25">
      <c r="A2109" s="3"/>
      <c r="B2109" s="3"/>
      <c r="C2109" s="18"/>
      <c r="D2109" s="18"/>
      <c r="E2109" s="19"/>
      <c r="F2109" s="19"/>
      <c r="G2109" s="20"/>
      <c r="H2109" s="3"/>
      <c r="I2109" s="19"/>
      <c r="J2109" s="19"/>
      <c r="K2109" s="19"/>
      <c r="L2109" s="19"/>
      <c r="M2109" s="19"/>
      <c r="N2109" s="19"/>
      <c r="O2109" s="19"/>
      <c r="P2109" s="19"/>
      <c r="Q2109" s="19"/>
      <c r="R2109" s="19"/>
      <c r="S2109" s="19"/>
      <c r="T2109" s="19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</row>
    <row r="2110" spans="1:34" ht="15.75" customHeight="1" x14ac:dyDescent="0.25">
      <c r="A2110" s="3"/>
      <c r="B2110" s="3"/>
      <c r="C2110" s="18"/>
      <c r="D2110" s="18"/>
      <c r="E2110" s="19"/>
      <c r="F2110" s="19"/>
      <c r="G2110" s="20"/>
      <c r="H2110" s="3"/>
      <c r="I2110" s="19"/>
      <c r="J2110" s="19"/>
      <c r="K2110" s="19"/>
      <c r="L2110" s="19"/>
      <c r="M2110" s="19"/>
      <c r="N2110" s="19"/>
      <c r="O2110" s="19"/>
      <c r="P2110" s="19"/>
      <c r="Q2110" s="19"/>
      <c r="R2110" s="19"/>
      <c r="S2110" s="19"/>
      <c r="T2110" s="19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</row>
    <row r="2111" spans="1:34" ht="15.75" customHeight="1" x14ac:dyDescent="0.25">
      <c r="A2111" s="3"/>
      <c r="B2111" s="3"/>
      <c r="C2111" s="18"/>
      <c r="D2111" s="18"/>
      <c r="E2111" s="19"/>
      <c r="F2111" s="19"/>
      <c r="G2111" s="20"/>
      <c r="H2111" s="3"/>
      <c r="I2111" s="19"/>
      <c r="J2111" s="19"/>
      <c r="K2111" s="19"/>
      <c r="L2111" s="19"/>
      <c r="M2111" s="19"/>
      <c r="N2111" s="19"/>
      <c r="O2111" s="19"/>
      <c r="P2111" s="19"/>
      <c r="Q2111" s="19"/>
      <c r="R2111" s="19"/>
      <c r="S2111" s="19"/>
      <c r="T2111" s="19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</row>
    <row r="2112" spans="1:34" ht="15.75" customHeight="1" x14ac:dyDescent="0.25">
      <c r="A2112" s="3"/>
      <c r="B2112" s="3"/>
      <c r="C2112" s="18"/>
      <c r="D2112" s="18"/>
      <c r="E2112" s="19"/>
      <c r="F2112" s="19"/>
      <c r="G2112" s="20"/>
      <c r="H2112" s="3"/>
      <c r="I2112" s="19"/>
      <c r="J2112" s="19"/>
      <c r="K2112" s="19"/>
      <c r="L2112" s="19"/>
      <c r="M2112" s="19"/>
      <c r="N2112" s="19"/>
      <c r="O2112" s="19"/>
      <c r="P2112" s="19"/>
      <c r="Q2112" s="19"/>
      <c r="R2112" s="19"/>
      <c r="S2112" s="19"/>
      <c r="T2112" s="19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</row>
    <row r="2113" spans="1:34" ht="15.75" customHeight="1" x14ac:dyDescent="0.25">
      <c r="A2113" s="3"/>
      <c r="B2113" s="3"/>
      <c r="C2113" s="18"/>
      <c r="D2113" s="18"/>
      <c r="E2113" s="19"/>
      <c r="F2113" s="19"/>
      <c r="G2113" s="20"/>
      <c r="H2113" s="3"/>
      <c r="I2113" s="19"/>
      <c r="J2113" s="19"/>
      <c r="K2113" s="19"/>
      <c r="L2113" s="19"/>
      <c r="M2113" s="19"/>
      <c r="N2113" s="19"/>
      <c r="O2113" s="19"/>
      <c r="P2113" s="19"/>
      <c r="Q2113" s="19"/>
      <c r="R2113" s="19"/>
      <c r="S2113" s="19"/>
      <c r="T2113" s="19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</row>
    <row r="2114" spans="1:34" ht="15.75" customHeight="1" x14ac:dyDescent="0.25">
      <c r="A2114" s="3"/>
      <c r="B2114" s="3"/>
      <c r="C2114" s="18"/>
      <c r="D2114" s="18"/>
      <c r="E2114" s="19"/>
      <c r="F2114" s="19"/>
      <c r="G2114" s="20"/>
      <c r="H2114" s="3"/>
      <c r="I2114" s="19"/>
      <c r="J2114" s="19"/>
      <c r="K2114" s="19"/>
      <c r="L2114" s="19"/>
      <c r="M2114" s="19"/>
      <c r="N2114" s="19"/>
      <c r="O2114" s="19"/>
      <c r="P2114" s="19"/>
      <c r="Q2114" s="19"/>
      <c r="R2114" s="19"/>
      <c r="S2114" s="19"/>
      <c r="T2114" s="19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</row>
    <row r="2115" spans="1:34" ht="15.75" customHeight="1" x14ac:dyDescent="0.25">
      <c r="A2115" s="3"/>
      <c r="B2115" s="3"/>
      <c r="C2115" s="18"/>
      <c r="D2115" s="18"/>
      <c r="E2115" s="19"/>
      <c r="F2115" s="19"/>
      <c r="G2115" s="20"/>
      <c r="H2115" s="3"/>
      <c r="I2115" s="19"/>
      <c r="J2115" s="19"/>
      <c r="K2115" s="19"/>
      <c r="L2115" s="19"/>
      <c r="M2115" s="19"/>
      <c r="N2115" s="19"/>
      <c r="O2115" s="19"/>
      <c r="P2115" s="19"/>
      <c r="Q2115" s="19"/>
      <c r="R2115" s="19"/>
      <c r="S2115" s="19"/>
      <c r="T2115" s="19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</row>
    <row r="2116" spans="1:34" ht="15.75" customHeight="1" x14ac:dyDescent="0.25">
      <c r="A2116" s="3"/>
      <c r="B2116" s="3"/>
      <c r="C2116" s="18"/>
      <c r="D2116" s="18"/>
      <c r="E2116" s="19"/>
      <c r="F2116" s="19"/>
      <c r="G2116" s="20"/>
      <c r="H2116" s="3"/>
      <c r="I2116" s="19"/>
      <c r="J2116" s="19"/>
      <c r="K2116" s="19"/>
      <c r="L2116" s="19"/>
      <c r="M2116" s="19"/>
      <c r="N2116" s="19"/>
      <c r="O2116" s="19"/>
      <c r="P2116" s="19"/>
      <c r="Q2116" s="19"/>
      <c r="R2116" s="19"/>
      <c r="S2116" s="19"/>
      <c r="T2116" s="19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</row>
    <row r="2117" spans="1:34" ht="15.75" customHeight="1" x14ac:dyDescent="0.25">
      <c r="A2117" s="3"/>
      <c r="B2117" s="3"/>
      <c r="C2117" s="18"/>
      <c r="D2117" s="18"/>
      <c r="E2117" s="19"/>
      <c r="F2117" s="19"/>
      <c r="G2117" s="20"/>
      <c r="H2117" s="3"/>
      <c r="I2117" s="19"/>
      <c r="J2117" s="19"/>
      <c r="K2117" s="19"/>
      <c r="L2117" s="19"/>
      <c r="M2117" s="19"/>
      <c r="N2117" s="19"/>
      <c r="O2117" s="19"/>
      <c r="P2117" s="19"/>
      <c r="Q2117" s="19"/>
      <c r="R2117" s="19"/>
      <c r="S2117" s="19"/>
      <c r="T2117" s="19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</row>
    <row r="2118" spans="1:34" ht="15.75" customHeight="1" x14ac:dyDescent="0.25">
      <c r="A2118" s="3"/>
      <c r="B2118" s="3"/>
      <c r="C2118" s="18"/>
      <c r="D2118" s="18"/>
      <c r="E2118" s="19"/>
      <c r="F2118" s="19"/>
      <c r="G2118" s="20"/>
      <c r="H2118" s="3"/>
      <c r="I2118" s="19"/>
      <c r="J2118" s="19"/>
      <c r="K2118" s="19"/>
      <c r="L2118" s="19"/>
      <c r="M2118" s="19"/>
      <c r="N2118" s="19"/>
      <c r="O2118" s="19"/>
      <c r="P2118" s="19"/>
      <c r="Q2118" s="19"/>
      <c r="R2118" s="19"/>
      <c r="S2118" s="19"/>
      <c r="T2118" s="19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</row>
    <row r="2119" spans="1:34" ht="15.75" customHeight="1" x14ac:dyDescent="0.25">
      <c r="A2119" s="3"/>
      <c r="B2119" s="3"/>
      <c r="C2119" s="18"/>
      <c r="D2119" s="18"/>
      <c r="E2119" s="19"/>
      <c r="F2119" s="19"/>
      <c r="G2119" s="20"/>
      <c r="H2119" s="3"/>
      <c r="I2119" s="19"/>
      <c r="J2119" s="19"/>
      <c r="K2119" s="19"/>
      <c r="L2119" s="19"/>
      <c r="M2119" s="19"/>
      <c r="N2119" s="19"/>
      <c r="O2119" s="19"/>
      <c r="P2119" s="19"/>
      <c r="Q2119" s="19"/>
      <c r="R2119" s="19"/>
      <c r="S2119" s="19"/>
      <c r="T2119" s="19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</row>
    <row r="2120" spans="1:34" ht="15.75" customHeight="1" x14ac:dyDescent="0.25">
      <c r="A2120" s="3"/>
      <c r="B2120" s="3"/>
      <c r="C2120" s="18"/>
      <c r="D2120" s="18"/>
      <c r="E2120" s="19"/>
      <c r="F2120" s="19"/>
      <c r="G2120" s="20"/>
      <c r="H2120" s="3"/>
      <c r="I2120" s="19"/>
      <c r="J2120" s="19"/>
      <c r="K2120" s="19"/>
      <c r="L2120" s="19"/>
      <c r="M2120" s="19"/>
      <c r="N2120" s="19"/>
      <c r="O2120" s="19"/>
      <c r="P2120" s="19"/>
      <c r="Q2120" s="19"/>
      <c r="R2120" s="19"/>
      <c r="S2120" s="19"/>
      <c r="T2120" s="19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</row>
    <row r="2121" spans="1:34" ht="15.75" customHeight="1" x14ac:dyDescent="0.25">
      <c r="A2121" s="3"/>
      <c r="B2121" s="3"/>
      <c r="C2121" s="18"/>
      <c r="D2121" s="18"/>
      <c r="E2121" s="19"/>
      <c r="F2121" s="19"/>
      <c r="G2121" s="20"/>
      <c r="H2121" s="3"/>
      <c r="I2121" s="19"/>
      <c r="J2121" s="19"/>
      <c r="K2121" s="19"/>
      <c r="L2121" s="19"/>
      <c r="M2121" s="19"/>
      <c r="N2121" s="19"/>
      <c r="O2121" s="19"/>
      <c r="P2121" s="19"/>
      <c r="Q2121" s="19"/>
      <c r="R2121" s="19"/>
      <c r="S2121" s="19"/>
      <c r="T2121" s="19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</row>
    <row r="2122" spans="1:34" ht="15.75" customHeight="1" x14ac:dyDescent="0.25">
      <c r="A2122" s="3"/>
      <c r="B2122" s="3"/>
      <c r="C2122" s="18"/>
      <c r="D2122" s="18"/>
      <c r="E2122" s="19"/>
      <c r="F2122" s="19"/>
      <c r="G2122" s="20"/>
      <c r="H2122" s="3"/>
      <c r="I2122" s="19"/>
      <c r="J2122" s="19"/>
      <c r="K2122" s="19"/>
      <c r="L2122" s="19"/>
      <c r="M2122" s="19"/>
      <c r="N2122" s="19"/>
      <c r="O2122" s="19"/>
      <c r="P2122" s="19"/>
      <c r="Q2122" s="19"/>
      <c r="R2122" s="19"/>
      <c r="S2122" s="19"/>
      <c r="T2122" s="19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</row>
    <row r="2123" spans="1:34" ht="15.75" customHeight="1" x14ac:dyDescent="0.25">
      <c r="A2123" s="3"/>
      <c r="B2123" s="3"/>
      <c r="C2123" s="18"/>
      <c r="D2123" s="18"/>
      <c r="E2123" s="19"/>
      <c r="F2123" s="19"/>
      <c r="G2123" s="20"/>
      <c r="H2123" s="3"/>
      <c r="I2123" s="19"/>
      <c r="J2123" s="19"/>
      <c r="K2123" s="19"/>
      <c r="L2123" s="19"/>
      <c r="M2123" s="19"/>
      <c r="N2123" s="19"/>
      <c r="O2123" s="19"/>
      <c r="P2123" s="19"/>
      <c r="Q2123" s="19"/>
      <c r="R2123" s="19"/>
      <c r="S2123" s="19"/>
      <c r="T2123" s="19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</row>
    <row r="2124" spans="1:34" ht="15.75" customHeight="1" x14ac:dyDescent="0.25">
      <c r="A2124" s="3"/>
      <c r="B2124" s="3"/>
      <c r="C2124" s="18"/>
      <c r="D2124" s="18"/>
      <c r="E2124" s="19"/>
      <c r="F2124" s="19"/>
      <c r="G2124" s="20"/>
      <c r="H2124" s="3"/>
      <c r="I2124" s="19"/>
      <c r="J2124" s="19"/>
      <c r="K2124" s="19"/>
      <c r="L2124" s="19"/>
      <c r="M2124" s="19"/>
      <c r="N2124" s="19"/>
      <c r="O2124" s="19"/>
      <c r="P2124" s="19"/>
      <c r="Q2124" s="19"/>
      <c r="R2124" s="19"/>
      <c r="S2124" s="19"/>
      <c r="T2124" s="19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</row>
    <row r="2125" spans="1:34" ht="15.75" customHeight="1" x14ac:dyDescent="0.25">
      <c r="A2125" s="3"/>
      <c r="B2125" s="3"/>
      <c r="C2125" s="18"/>
      <c r="D2125" s="18"/>
      <c r="E2125" s="19"/>
      <c r="F2125" s="19"/>
      <c r="G2125" s="20"/>
      <c r="H2125" s="3"/>
      <c r="I2125" s="19"/>
      <c r="J2125" s="19"/>
      <c r="K2125" s="19"/>
      <c r="L2125" s="19"/>
      <c r="M2125" s="19"/>
      <c r="N2125" s="19"/>
      <c r="O2125" s="19"/>
      <c r="P2125" s="19"/>
      <c r="Q2125" s="19"/>
      <c r="R2125" s="19"/>
      <c r="S2125" s="19"/>
      <c r="T2125" s="19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</row>
    <row r="2126" spans="1:34" ht="15.75" customHeight="1" x14ac:dyDescent="0.25">
      <c r="A2126" s="3"/>
      <c r="B2126" s="3"/>
      <c r="C2126" s="18"/>
      <c r="D2126" s="18"/>
      <c r="E2126" s="19"/>
      <c r="F2126" s="19"/>
      <c r="G2126" s="20"/>
      <c r="H2126" s="3"/>
      <c r="I2126" s="19"/>
      <c r="J2126" s="19"/>
      <c r="K2126" s="19"/>
      <c r="L2126" s="19"/>
      <c r="M2126" s="19"/>
      <c r="N2126" s="19"/>
      <c r="O2126" s="19"/>
      <c r="P2126" s="19"/>
      <c r="Q2126" s="19"/>
      <c r="R2126" s="19"/>
      <c r="S2126" s="19"/>
      <c r="T2126" s="19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</row>
    <row r="2127" spans="1:34" ht="15.75" customHeight="1" x14ac:dyDescent="0.25">
      <c r="A2127" s="3"/>
      <c r="B2127" s="3"/>
      <c r="C2127" s="18"/>
      <c r="D2127" s="18"/>
      <c r="E2127" s="19"/>
      <c r="F2127" s="19"/>
      <c r="G2127" s="20"/>
      <c r="H2127" s="3"/>
      <c r="I2127" s="19"/>
      <c r="J2127" s="19"/>
      <c r="K2127" s="19"/>
      <c r="L2127" s="19"/>
      <c r="M2127" s="19"/>
      <c r="N2127" s="19"/>
      <c r="O2127" s="19"/>
      <c r="P2127" s="19"/>
      <c r="Q2127" s="19"/>
      <c r="R2127" s="19"/>
      <c r="S2127" s="19"/>
      <c r="T2127" s="19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</row>
    <row r="2128" spans="1:34" ht="15.75" customHeight="1" x14ac:dyDescent="0.25">
      <c r="A2128" s="3"/>
      <c r="B2128" s="3"/>
      <c r="C2128" s="18"/>
      <c r="D2128" s="18"/>
      <c r="E2128" s="19"/>
      <c r="F2128" s="19"/>
      <c r="G2128" s="20"/>
      <c r="H2128" s="3"/>
      <c r="I2128" s="19"/>
      <c r="J2128" s="19"/>
      <c r="K2128" s="19"/>
      <c r="L2128" s="19"/>
      <c r="M2128" s="19"/>
      <c r="N2128" s="19"/>
      <c r="O2128" s="19"/>
      <c r="P2128" s="19"/>
      <c r="Q2128" s="19"/>
      <c r="R2128" s="19"/>
      <c r="S2128" s="19"/>
      <c r="T2128" s="19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</row>
    <row r="2129" spans="1:34" ht="15.75" customHeight="1" x14ac:dyDescent="0.25">
      <c r="A2129" s="3"/>
      <c r="B2129" s="3"/>
      <c r="C2129" s="18"/>
      <c r="D2129" s="18"/>
      <c r="E2129" s="19"/>
      <c r="F2129" s="19"/>
      <c r="G2129" s="20"/>
      <c r="H2129" s="3"/>
      <c r="I2129" s="19"/>
      <c r="J2129" s="19"/>
      <c r="K2129" s="19"/>
      <c r="L2129" s="19"/>
      <c r="M2129" s="19"/>
      <c r="N2129" s="19"/>
      <c r="O2129" s="19"/>
      <c r="P2129" s="19"/>
      <c r="Q2129" s="19"/>
      <c r="R2129" s="19"/>
      <c r="S2129" s="19"/>
      <c r="T2129" s="19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</row>
    <row r="2130" spans="1:34" ht="15.75" customHeight="1" x14ac:dyDescent="0.25">
      <c r="A2130" s="3"/>
      <c r="B2130" s="3"/>
      <c r="C2130" s="18"/>
      <c r="D2130" s="18"/>
      <c r="E2130" s="19"/>
      <c r="F2130" s="19"/>
      <c r="G2130" s="20"/>
      <c r="H2130" s="3"/>
      <c r="I2130" s="19"/>
      <c r="J2130" s="19"/>
      <c r="K2130" s="19"/>
      <c r="L2130" s="19"/>
      <c r="M2130" s="19"/>
      <c r="N2130" s="19"/>
      <c r="O2130" s="19"/>
      <c r="P2130" s="19"/>
      <c r="Q2130" s="19"/>
      <c r="R2130" s="19"/>
      <c r="S2130" s="19"/>
      <c r="T2130" s="19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</row>
    <row r="2131" spans="1:34" ht="15.75" customHeight="1" x14ac:dyDescent="0.25">
      <c r="A2131" s="3"/>
      <c r="B2131" s="3"/>
      <c r="C2131" s="18"/>
      <c r="D2131" s="18"/>
      <c r="E2131" s="19"/>
      <c r="F2131" s="19"/>
      <c r="G2131" s="20"/>
      <c r="H2131" s="3"/>
      <c r="I2131" s="19"/>
      <c r="J2131" s="19"/>
      <c r="K2131" s="19"/>
      <c r="L2131" s="19"/>
      <c r="M2131" s="19"/>
      <c r="N2131" s="19"/>
      <c r="O2131" s="19"/>
      <c r="P2131" s="19"/>
      <c r="Q2131" s="19"/>
      <c r="R2131" s="19"/>
      <c r="S2131" s="19"/>
      <c r="T2131" s="19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</row>
    <row r="2132" spans="1:34" ht="15.75" customHeight="1" x14ac:dyDescent="0.25">
      <c r="A2132" s="3"/>
      <c r="B2132" s="3"/>
      <c r="C2132" s="18"/>
      <c r="D2132" s="18"/>
      <c r="E2132" s="19"/>
      <c r="F2132" s="19"/>
      <c r="G2132" s="20"/>
      <c r="H2132" s="3"/>
      <c r="I2132" s="19"/>
      <c r="J2132" s="19"/>
      <c r="K2132" s="19"/>
      <c r="L2132" s="19"/>
      <c r="M2132" s="19"/>
      <c r="N2132" s="19"/>
      <c r="O2132" s="19"/>
      <c r="P2132" s="19"/>
      <c r="Q2132" s="19"/>
      <c r="R2132" s="19"/>
      <c r="S2132" s="19"/>
      <c r="T2132" s="19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</row>
    <row r="2133" spans="1:34" ht="15.75" customHeight="1" x14ac:dyDescent="0.25">
      <c r="A2133" s="3"/>
      <c r="B2133" s="3"/>
      <c r="C2133" s="18"/>
      <c r="D2133" s="18"/>
      <c r="E2133" s="19"/>
      <c r="F2133" s="19"/>
      <c r="G2133" s="20"/>
      <c r="H2133" s="3"/>
      <c r="I2133" s="19"/>
      <c r="J2133" s="19"/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</row>
    <row r="2134" spans="1:34" ht="15.75" customHeight="1" x14ac:dyDescent="0.25">
      <c r="A2134" s="3"/>
      <c r="B2134" s="3"/>
      <c r="C2134" s="18"/>
      <c r="D2134" s="18"/>
      <c r="E2134" s="19"/>
      <c r="F2134" s="19"/>
      <c r="G2134" s="20"/>
      <c r="H2134" s="3"/>
      <c r="I2134" s="19"/>
      <c r="J2134" s="19"/>
      <c r="K2134" s="19"/>
      <c r="L2134" s="19"/>
      <c r="M2134" s="19"/>
      <c r="N2134" s="19"/>
      <c r="O2134" s="19"/>
      <c r="P2134" s="19"/>
      <c r="Q2134" s="19"/>
      <c r="R2134" s="19"/>
      <c r="S2134" s="19"/>
      <c r="T2134" s="19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</row>
    <row r="2135" spans="1:34" ht="15.75" customHeight="1" x14ac:dyDescent="0.25">
      <c r="A2135" s="3"/>
      <c r="B2135" s="3"/>
      <c r="C2135" s="18"/>
      <c r="D2135" s="18"/>
      <c r="E2135" s="19"/>
      <c r="F2135" s="19"/>
      <c r="G2135" s="20"/>
      <c r="H2135" s="3"/>
      <c r="I2135" s="19"/>
      <c r="J2135" s="19"/>
      <c r="K2135" s="19"/>
      <c r="L2135" s="19"/>
      <c r="M2135" s="19"/>
      <c r="N2135" s="19"/>
      <c r="O2135" s="19"/>
      <c r="P2135" s="19"/>
      <c r="Q2135" s="19"/>
      <c r="R2135" s="19"/>
      <c r="S2135" s="19"/>
      <c r="T2135" s="19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</row>
    <row r="2136" spans="1:34" ht="15.75" customHeight="1" x14ac:dyDescent="0.25">
      <c r="A2136" s="3"/>
      <c r="B2136" s="3"/>
      <c r="C2136" s="18"/>
      <c r="D2136" s="18"/>
      <c r="E2136" s="19"/>
      <c r="F2136" s="19"/>
      <c r="G2136" s="20"/>
      <c r="H2136" s="3"/>
      <c r="I2136" s="19"/>
      <c r="J2136" s="19"/>
      <c r="K2136" s="19"/>
      <c r="L2136" s="19"/>
      <c r="M2136" s="19"/>
      <c r="N2136" s="19"/>
      <c r="O2136" s="19"/>
      <c r="P2136" s="19"/>
      <c r="Q2136" s="19"/>
      <c r="R2136" s="19"/>
      <c r="S2136" s="19"/>
      <c r="T2136" s="19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</row>
    <row r="2137" spans="1:34" ht="15.75" customHeight="1" x14ac:dyDescent="0.25">
      <c r="A2137" s="3"/>
      <c r="B2137" s="3"/>
      <c r="C2137" s="18"/>
      <c r="D2137" s="18"/>
      <c r="E2137" s="19"/>
      <c r="F2137" s="19"/>
      <c r="G2137" s="20"/>
      <c r="H2137" s="3"/>
      <c r="I2137" s="19"/>
      <c r="J2137" s="19"/>
      <c r="K2137" s="19"/>
      <c r="L2137" s="19"/>
      <c r="M2137" s="19"/>
      <c r="N2137" s="19"/>
      <c r="O2137" s="19"/>
      <c r="P2137" s="19"/>
      <c r="Q2137" s="19"/>
      <c r="R2137" s="19"/>
      <c r="S2137" s="19"/>
      <c r="T2137" s="19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</row>
    <row r="2138" spans="1:34" ht="15.75" customHeight="1" x14ac:dyDescent="0.25">
      <c r="A2138" s="3"/>
      <c r="B2138" s="3"/>
      <c r="C2138" s="18"/>
      <c r="D2138" s="18"/>
      <c r="E2138" s="19"/>
      <c r="F2138" s="19"/>
      <c r="G2138" s="20"/>
      <c r="H2138" s="3"/>
      <c r="I2138" s="19"/>
      <c r="J2138" s="19"/>
      <c r="K2138" s="19"/>
      <c r="L2138" s="19"/>
      <c r="M2138" s="19"/>
      <c r="N2138" s="19"/>
      <c r="O2138" s="19"/>
      <c r="P2138" s="19"/>
      <c r="Q2138" s="19"/>
      <c r="R2138" s="19"/>
      <c r="S2138" s="19"/>
      <c r="T2138" s="19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</row>
    <row r="2139" spans="1:34" ht="15.75" customHeight="1" x14ac:dyDescent="0.25">
      <c r="A2139" s="3"/>
      <c r="B2139" s="3"/>
      <c r="C2139" s="18"/>
      <c r="D2139" s="18"/>
      <c r="E2139" s="19"/>
      <c r="F2139" s="19"/>
      <c r="G2139" s="20"/>
      <c r="H2139" s="3"/>
      <c r="I2139" s="19"/>
      <c r="J2139" s="19"/>
      <c r="K2139" s="19"/>
      <c r="L2139" s="19"/>
      <c r="M2139" s="19"/>
      <c r="N2139" s="19"/>
      <c r="O2139" s="19"/>
      <c r="P2139" s="19"/>
      <c r="Q2139" s="19"/>
      <c r="R2139" s="19"/>
      <c r="S2139" s="19"/>
      <c r="T2139" s="19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</row>
    <row r="2140" spans="1:34" ht="15.75" customHeight="1" x14ac:dyDescent="0.25">
      <c r="A2140" s="3"/>
      <c r="B2140" s="3"/>
      <c r="C2140" s="18"/>
      <c r="D2140" s="18"/>
      <c r="E2140" s="19"/>
      <c r="F2140" s="19"/>
      <c r="G2140" s="20"/>
      <c r="H2140" s="3"/>
      <c r="I2140" s="19"/>
      <c r="J2140" s="19"/>
      <c r="K2140" s="19"/>
      <c r="L2140" s="19"/>
      <c r="M2140" s="19"/>
      <c r="N2140" s="19"/>
      <c r="O2140" s="19"/>
      <c r="P2140" s="19"/>
      <c r="Q2140" s="19"/>
      <c r="R2140" s="19"/>
      <c r="S2140" s="19"/>
      <c r="T2140" s="19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</row>
    <row r="2141" spans="1:34" ht="15.75" customHeight="1" x14ac:dyDescent="0.25">
      <c r="A2141" s="3"/>
      <c r="B2141" s="3"/>
      <c r="C2141" s="18"/>
      <c r="D2141" s="18"/>
      <c r="E2141" s="19"/>
      <c r="F2141" s="19"/>
      <c r="G2141" s="20"/>
      <c r="H2141" s="3"/>
      <c r="I2141" s="19"/>
      <c r="J2141" s="19"/>
      <c r="K2141" s="19"/>
      <c r="L2141" s="19"/>
      <c r="M2141" s="19"/>
      <c r="N2141" s="19"/>
      <c r="O2141" s="19"/>
      <c r="P2141" s="19"/>
      <c r="Q2141" s="19"/>
      <c r="R2141" s="19"/>
      <c r="S2141" s="19"/>
      <c r="T2141" s="19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</row>
    <row r="2142" spans="1:34" ht="15.75" customHeight="1" x14ac:dyDescent="0.25">
      <c r="A2142" s="3"/>
      <c r="B2142" s="3"/>
      <c r="C2142" s="18"/>
      <c r="D2142" s="18"/>
      <c r="E2142" s="19"/>
      <c r="F2142" s="19"/>
      <c r="G2142" s="20"/>
      <c r="H2142" s="3"/>
      <c r="I2142" s="19"/>
      <c r="J2142" s="19"/>
      <c r="K2142" s="19"/>
      <c r="L2142" s="19"/>
      <c r="M2142" s="19"/>
      <c r="N2142" s="19"/>
      <c r="O2142" s="19"/>
      <c r="P2142" s="19"/>
      <c r="Q2142" s="19"/>
      <c r="R2142" s="19"/>
      <c r="S2142" s="19"/>
      <c r="T2142" s="19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</row>
    <row r="2143" spans="1:34" ht="15.75" customHeight="1" x14ac:dyDescent="0.25">
      <c r="A2143" s="3"/>
      <c r="B2143" s="3"/>
      <c r="C2143" s="18"/>
      <c r="D2143" s="18"/>
      <c r="E2143" s="19"/>
      <c r="F2143" s="19"/>
      <c r="G2143" s="20"/>
      <c r="H2143" s="3"/>
      <c r="I2143" s="19"/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</row>
    <row r="2144" spans="1:34" ht="15.75" customHeight="1" x14ac:dyDescent="0.25">
      <c r="A2144" s="3"/>
      <c r="B2144" s="3"/>
      <c r="C2144" s="18"/>
      <c r="D2144" s="18"/>
      <c r="E2144" s="19"/>
      <c r="F2144" s="19"/>
      <c r="G2144" s="20"/>
      <c r="H2144" s="3"/>
      <c r="I2144" s="19"/>
      <c r="J2144" s="19"/>
      <c r="K2144" s="19"/>
      <c r="L2144" s="19"/>
      <c r="M2144" s="19"/>
      <c r="N2144" s="19"/>
      <c r="O2144" s="19"/>
      <c r="P2144" s="19"/>
      <c r="Q2144" s="19"/>
      <c r="R2144" s="19"/>
      <c r="S2144" s="19"/>
      <c r="T2144" s="19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</row>
    <row r="2145" spans="1:34" ht="15.75" customHeight="1" x14ac:dyDescent="0.25">
      <c r="A2145" s="3"/>
      <c r="B2145" s="3"/>
      <c r="C2145" s="18"/>
      <c r="D2145" s="18"/>
      <c r="E2145" s="19"/>
      <c r="F2145" s="19"/>
      <c r="G2145" s="20"/>
      <c r="H2145" s="3"/>
      <c r="I2145" s="19"/>
      <c r="J2145" s="19"/>
      <c r="K2145" s="19"/>
      <c r="L2145" s="19"/>
      <c r="M2145" s="19"/>
      <c r="N2145" s="19"/>
      <c r="O2145" s="19"/>
      <c r="P2145" s="19"/>
      <c r="Q2145" s="19"/>
      <c r="R2145" s="19"/>
      <c r="S2145" s="19"/>
      <c r="T2145" s="19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</row>
    <row r="2146" spans="1:34" ht="15.75" customHeight="1" x14ac:dyDescent="0.25">
      <c r="A2146" s="3"/>
      <c r="B2146" s="3"/>
      <c r="C2146" s="18"/>
      <c r="D2146" s="18"/>
      <c r="E2146" s="19"/>
      <c r="F2146" s="19"/>
      <c r="G2146" s="20"/>
      <c r="H2146" s="3"/>
      <c r="I2146" s="19"/>
      <c r="J2146" s="19"/>
      <c r="K2146" s="19"/>
      <c r="L2146" s="19"/>
      <c r="M2146" s="19"/>
      <c r="N2146" s="19"/>
      <c r="O2146" s="19"/>
      <c r="P2146" s="19"/>
      <c r="Q2146" s="19"/>
      <c r="R2146" s="19"/>
      <c r="S2146" s="19"/>
      <c r="T2146" s="19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</row>
    <row r="2147" spans="1:34" ht="15.75" customHeight="1" x14ac:dyDescent="0.25">
      <c r="A2147" s="3"/>
      <c r="B2147" s="3"/>
      <c r="C2147" s="18"/>
      <c r="D2147" s="18"/>
      <c r="E2147" s="19"/>
      <c r="F2147" s="19"/>
      <c r="G2147" s="20"/>
      <c r="H2147" s="3"/>
      <c r="I2147" s="19"/>
      <c r="J2147" s="19"/>
      <c r="K2147" s="19"/>
      <c r="L2147" s="19"/>
      <c r="M2147" s="19"/>
      <c r="N2147" s="19"/>
      <c r="O2147" s="19"/>
      <c r="P2147" s="19"/>
      <c r="Q2147" s="19"/>
      <c r="R2147" s="19"/>
      <c r="S2147" s="19"/>
      <c r="T2147" s="19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</row>
    <row r="2148" spans="1:34" ht="15.75" customHeight="1" x14ac:dyDescent="0.25">
      <c r="A2148" s="3"/>
      <c r="B2148" s="3"/>
      <c r="C2148" s="18"/>
      <c r="D2148" s="18"/>
      <c r="E2148" s="19"/>
      <c r="F2148" s="19"/>
      <c r="G2148" s="20"/>
      <c r="H2148" s="3"/>
      <c r="I2148" s="19"/>
      <c r="J2148" s="19"/>
      <c r="K2148" s="19"/>
      <c r="L2148" s="19"/>
      <c r="M2148" s="19"/>
      <c r="N2148" s="19"/>
      <c r="O2148" s="19"/>
      <c r="P2148" s="19"/>
      <c r="Q2148" s="19"/>
      <c r="R2148" s="19"/>
      <c r="S2148" s="19"/>
      <c r="T2148" s="19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</row>
    <row r="2149" spans="1:34" ht="15.75" customHeight="1" x14ac:dyDescent="0.25">
      <c r="A2149" s="3"/>
      <c r="B2149" s="3"/>
      <c r="C2149" s="18"/>
      <c r="D2149" s="18"/>
      <c r="E2149" s="19"/>
      <c r="F2149" s="19"/>
      <c r="G2149" s="20"/>
      <c r="H2149" s="3"/>
      <c r="I2149" s="19"/>
      <c r="J2149" s="19"/>
      <c r="K2149" s="19"/>
      <c r="L2149" s="19"/>
      <c r="M2149" s="19"/>
      <c r="N2149" s="19"/>
      <c r="O2149" s="19"/>
      <c r="P2149" s="19"/>
      <c r="Q2149" s="19"/>
      <c r="R2149" s="19"/>
      <c r="S2149" s="19"/>
      <c r="T2149" s="19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</row>
    <row r="2150" spans="1:34" ht="15.75" customHeight="1" x14ac:dyDescent="0.25">
      <c r="A2150" s="3"/>
      <c r="B2150" s="3"/>
      <c r="C2150" s="18"/>
      <c r="D2150" s="18"/>
      <c r="E2150" s="19"/>
      <c r="F2150" s="19"/>
      <c r="G2150" s="20"/>
      <c r="H2150" s="3"/>
      <c r="I2150" s="19"/>
      <c r="J2150" s="19"/>
      <c r="K2150" s="19"/>
      <c r="L2150" s="19"/>
      <c r="M2150" s="19"/>
      <c r="N2150" s="19"/>
      <c r="O2150" s="19"/>
      <c r="P2150" s="19"/>
      <c r="Q2150" s="19"/>
      <c r="R2150" s="19"/>
      <c r="S2150" s="19"/>
      <c r="T2150" s="19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</row>
    <row r="2151" spans="1:34" ht="15.75" customHeight="1" x14ac:dyDescent="0.25">
      <c r="A2151" s="3"/>
      <c r="B2151" s="3"/>
      <c r="C2151" s="18"/>
      <c r="D2151" s="18"/>
      <c r="E2151" s="19"/>
      <c r="F2151" s="19"/>
      <c r="G2151" s="20"/>
      <c r="H2151" s="3"/>
      <c r="I2151" s="19"/>
      <c r="J2151" s="19"/>
      <c r="K2151" s="19"/>
      <c r="L2151" s="19"/>
      <c r="M2151" s="19"/>
      <c r="N2151" s="19"/>
      <c r="O2151" s="19"/>
      <c r="P2151" s="19"/>
      <c r="Q2151" s="19"/>
      <c r="R2151" s="19"/>
      <c r="S2151" s="19"/>
      <c r="T2151" s="19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</row>
    <row r="2152" spans="1:34" ht="15.75" customHeight="1" x14ac:dyDescent="0.25">
      <c r="A2152" s="3"/>
      <c r="B2152" s="3"/>
      <c r="C2152" s="18"/>
      <c r="D2152" s="18"/>
      <c r="E2152" s="19"/>
      <c r="F2152" s="19"/>
      <c r="G2152" s="20"/>
      <c r="H2152" s="3"/>
      <c r="I2152" s="19"/>
      <c r="J2152" s="19"/>
      <c r="K2152" s="19"/>
      <c r="L2152" s="19"/>
      <c r="M2152" s="19"/>
      <c r="N2152" s="19"/>
      <c r="O2152" s="19"/>
      <c r="P2152" s="19"/>
      <c r="Q2152" s="19"/>
      <c r="R2152" s="19"/>
      <c r="S2152" s="19"/>
      <c r="T2152" s="19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</row>
    <row r="2153" spans="1:34" ht="15.75" customHeight="1" x14ac:dyDescent="0.25">
      <c r="A2153" s="3"/>
      <c r="B2153" s="3"/>
      <c r="C2153" s="18"/>
      <c r="D2153" s="18"/>
      <c r="E2153" s="19"/>
      <c r="F2153" s="19"/>
      <c r="G2153" s="20"/>
      <c r="H2153" s="3"/>
      <c r="I2153" s="19"/>
      <c r="J2153" s="19"/>
      <c r="K2153" s="19"/>
      <c r="L2153" s="19"/>
      <c r="M2153" s="19"/>
      <c r="N2153" s="19"/>
      <c r="O2153" s="19"/>
      <c r="P2153" s="19"/>
      <c r="Q2153" s="19"/>
      <c r="R2153" s="19"/>
      <c r="S2153" s="19"/>
      <c r="T2153" s="19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</row>
    <row r="2154" spans="1:34" ht="15.75" customHeight="1" x14ac:dyDescent="0.25">
      <c r="A2154" s="3"/>
      <c r="B2154" s="3"/>
      <c r="C2154" s="18"/>
      <c r="D2154" s="18"/>
      <c r="E2154" s="19"/>
      <c r="F2154" s="19"/>
      <c r="G2154" s="20"/>
      <c r="H2154" s="3"/>
      <c r="I2154" s="19"/>
      <c r="J2154" s="19"/>
      <c r="K2154" s="19"/>
      <c r="L2154" s="19"/>
      <c r="M2154" s="19"/>
      <c r="N2154" s="19"/>
      <c r="O2154" s="19"/>
      <c r="P2154" s="19"/>
      <c r="Q2154" s="19"/>
      <c r="R2154" s="19"/>
      <c r="S2154" s="19"/>
      <c r="T2154" s="19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</row>
    <row r="2155" spans="1:34" ht="15.75" customHeight="1" x14ac:dyDescent="0.25">
      <c r="A2155" s="3"/>
      <c r="B2155" s="3"/>
      <c r="C2155" s="18"/>
      <c r="D2155" s="18"/>
      <c r="E2155" s="19"/>
      <c r="F2155" s="19"/>
      <c r="G2155" s="20"/>
      <c r="H2155" s="3"/>
      <c r="I2155" s="19"/>
      <c r="J2155" s="19"/>
      <c r="K2155" s="19"/>
      <c r="L2155" s="19"/>
      <c r="M2155" s="19"/>
      <c r="N2155" s="19"/>
      <c r="O2155" s="19"/>
      <c r="P2155" s="19"/>
      <c r="Q2155" s="19"/>
      <c r="R2155" s="19"/>
      <c r="S2155" s="19"/>
      <c r="T2155" s="19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</row>
    <row r="2156" spans="1:34" ht="15.75" customHeight="1" x14ac:dyDescent="0.25">
      <c r="A2156" s="3"/>
      <c r="B2156" s="3"/>
      <c r="C2156" s="18"/>
      <c r="D2156" s="18"/>
      <c r="E2156" s="19"/>
      <c r="F2156" s="19"/>
      <c r="G2156" s="20"/>
      <c r="H2156" s="3"/>
      <c r="I2156" s="19"/>
      <c r="J2156" s="19"/>
      <c r="K2156" s="19"/>
      <c r="L2156" s="19"/>
      <c r="M2156" s="19"/>
      <c r="N2156" s="19"/>
      <c r="O2156" s="19"/>
      <c r="P2156" s="19"/>
      <c r="Q2156" s="19"/>
      <c r="R2156" s="19"/>
      <c r="S2156" s="19"/>
      <c r="T2156" s="19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</row>
    <row r="2157" spans="1:34" ht="15.75" customHeight="1" x14ac:dyDescent="0.25">
      <c r="A2157" s="3"/>
      <c r="B2157" s="3"/>
      <c r="C2157" s="18"/>
      <c r="D2157" s="18"/>
      <c r="E2157" s="19"/>
      <c r="F2157" s="19"/>
      <c r="G2157" s="20"/>
      <c r="H2157" s="3"/>
      <c r="I2157" s="19"/>
      <c r="J2157" s="19"/>
      <c r="K2157" s="19"/>
      <c r="L2157" s="19"/>
      <c r="M2157" s="19"/>
      <c r="N2157" s="19"/>
      <c r="O2157" s="19"/>
      <c r="P2157" s="19"/>
      <c r="Q2157" s="19"/>
      <c r="R2157" s="19"/>
      <c r="S2157" s="19"/>
      <c r="T2157" s="19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</row>
    <row r="2158" spans="1:34" ht="15.75" customHeight="1" x14ac:dyDescent="0.25">
      <c r="A2158" s="3"/>
      <c r="B2158" s="3"/>
      <c r="C2158" s="18"/>
      <c r="D2158" s="18"/>
      <c r="E2158" s="19"/>
      <c r="F2158" s="19"/>
      <c r="G2158" s="20"/>
      <c r="H2158" s="3"/>
      <c r="I2158" s="19"/>
      <c r="J2158" s="19"/>
      <c r="K2158" s="19"/>
      <c r="L2158" s="19"/>
      <c r="M2158" s="19"/>
      <c r="N2158" s="19"/>
      <c r="O2158" s="19"/>
      <c r="P2158" s="19"/>
      <c r="Q2158" s="19"/>
      <c r="R2158" s="19"/>
      <c r="S2158" s="19"/>
      <c r="T2158" s="19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</row>
    <row r="2159" spans="1:34" ht="15.75" customHeight="1" x14ac:dyDescent="0.25">
      <c r="A2159" s="3"/>
      <c r="B2159" s="3"/>
      <c r="C2159" s="18"/>
      <c r="D2159" s="18"/>
      <c r="E2159" s="19"/>
      <c r="F2159" s="19"/>
      <c r="G2159" s="20"/>
      <c r="H2159" s="3"/>
      <c r="I2159" s="19"/>
      <c r="J2159" s="19"/>
      <c r="K2159" s="19"/>
      <c r="L2159" s="19"/>
      <c r="M2159" s="19"/>
      <c r="N2159" s="19"/>
      <c r="O2159" s="19"/>
      <c r="P2159" s="19"/>
      <c r="Q2159" s="19"/>
      <c r="R2159" s="19"/>
      <c r="S2159" s="19"/>
      <c r="T2159" s="19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</row>
    <row r="2160" spans="1:34" ht="15.75" customHeight="1" x14ac:dyDescent="0.25">
      <c r="A2160" s="3"/>
      <c r="B2160" s="3"/>
      <c r="C2160" s="18"/>
      <c r="D2160" s="18"/>
      <c r="E2160" s="19"/>
      <c r="F2160" s="19"/>
      <c r="G2160" s="20"/>
      <c r="H2160" s="3"/>
      <c r="I2160" s="19"/>
      <c r="J2160" s="19"/>
      <c r="K2160" s="19"/>
      <c r="L2160" s="19"/>
      <c r="M2160" s="19"/>
      <c r="N2160" s="19"/>
      <c r="O2160" s="19"/>
      <c r="P2160" s="19"/>
      <c r="Q2160" s="19"/>
      <c r="R2160" s="19"/>
      <c r="S2160" s="19"/>
      <c r="T2160" s="19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</row>
    <row r="2161" spans="1:34" ht="15.75" customHeight="1" x14ac:dyDescent="0.25">
      <c r="A2161" s="3"/>
      <c r="B2161" s="3"/>
      <c r="C2161" s="18"/>
      <c r="D2161" s="18"/>
      <c r="E2161" s="19"/>
      <c r="F2161" s="19"/>
      <c r="G2161" s="20"/>
      <c r="H2161" s="3"/>
      <c r="I2161" s="19"/>
      <c r="J2161" s="19"/>
      <c r="K2161" s="19"/>
      <c r="L2161" s="19"/>
      <c r="M2161" s="19"/>
      <c r="N2161" s="19"/>
      <c r="O2161" s="19"/>
      <c r="P2161" s="19"/>
      <c r="Q2161" s="19"/>
      <c r="R2161" s="19"/>
      <c r="S2161" s="19"/>
      <c r="T2161" s="19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</row>
    <row r="2162" spans="1:34" ht="15.75" customHeight="1" x14ac:dyDescent="0.25">
      <c r="A2162" s="3"/>
      <c r="B2162" s="3"/>
      <c r="C2162" s="18"/>
      <c r="D2162" s="18"/>
      <c r="E2162" s="19"/>
      <c r="F2162" s="19"/>
      <c r="G2162" s="20"/>
      <c r="H2162" s="3"/>
      <c r="I2162" s="19"/>
      <c r="J2162" s="19"/>
      <c r="K2162" s="19"/>
      <c r="L2162" s="19"/>
      <c r="M2162" s="19"/>
      <c r="N2162" s="19"/>
      <c r="O2162" s="19"/>
      <c r="P2162" s="19"/>
      <c r="Q2162" s="19"/>
      <c r="R2162" s="19"/>
      <c r="S2162" s="19"/>
      <c r="T2162" s="19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</row>
    <row r="2163" spans="1:34" ht="15.75" customHeight="1" x14ac:dyDescent="0.25">
      <c r="A2163" s="3"/>
      <c r="B2163" s="3"/>
      <c r="C2163" s="18"/>
      <c r="D2163" s="18"/>
      <c r="E2163" s="19"/>
      <c r="F2163" s="19"/>
      <c r="G2163" s="20"/>
      <c r="H2163" s="3"/>
      <c r="I2163" s="19"/>
      <c r="J2163" s="19"/>
      <c r="K2163" s="19"/>
      <c r="L2163" s="19"/>
      <c r="M2163" s="19"/>
      <c r="N2163" s="19"/>
      <c r="O2163" s="19"/>
      <c r="P2163" s="19"/>
      <c r="Q2163" s="19"/>
      <c r="R2163" s="19"/>
      <c r="S2163" s="19"/>
      <c r="T2163" s="19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</row>
    <row r="2164" spans="1:34" ht="15.75" customHeight="1" x14ac:dyDescent="0.25">
      <c r="A2164" s="3"/>
      <c r="B2164" s="3"/>
      <c r="C2164" s="18"/>
      <c r="D2164" s="18"/>
      <c r="E2164" s="19"/>
      <c r="F2164" s="19"/>
      <c r="G2164" s="20"/>
      <c r="H2164" s="3"/>
      <c r="I2164" s="19"/>
      <c r="J2164" s="19"/>
      <c r="K2164" s="19"/>
      <c r="L2164" s="19"/>
      <c r="M2164" s="19"/>
      <c r="N2164" s="19"/>
      <c r="O2164" s="19"/>
      <c r="P2164" s="19"/>
      <c r="Q2164" s="19"/>
      <c r="R2164" s="19"/>
      <c r="S2164" s="19"/>
      <c r="T2164" s="19"/>
      <c r="U2164" s="3"/>
      <c r="V2164" s="3"/>
      <c r="W2164" s="3"/>
      <c r="X2164" s="3"/>
      <c r="Y2164" s="3"/>
      <c r="Z2164" s="3"/>
      <c r="AA2164" s="3"/>
      <c r="AB2164" s="3"/>
      <c r="AC2164" s="3"/>
      <c r="AD2164" s="3"/>
      <c r="AE2164" s="3"/>
      <c r="AF2164" s="3"/>
      <c r="AG2164" s="3"/>
      <c r="AH2164" s="3"/>
    </row>
    <row r="2165" spans="1:34" ht="15.75" customHeight="1" x14ac:dyDescent="0.25">
      <c r="A2165" s="3"/>
      <c r="B2165" s="3"/>
      <c r="C2165" s="18"/>
      <c r="D2165" s="18"/>
      <c r="E2165" s="19"/>
      <c r="F2165" s="19"/>
      <c r="G2165" s="20"/>
      <c r="H2165" s="3"/>
      <c r="I2165" s="19"/>
      <c r="J2165" s="19"/>
      <c r="K2165" s="19"/>
      <c r="L2165" s="19"/>
      <c r="M2165" s="19"/>
      <c r="N2165" s="19"/>
      <c r="O2165" s="19"/>
      <c r="P2165" s="19"/>
      <c r="Q2165" s="19"/>
      <c r="R2165" s="19"/>
      <c r="S2165" s="19"/>
      <c r="T2165" s="19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  <c r="AG2165" s="3"/>
      <c r="AH2165" s="3"/>
    </row>
    <row r="2166" spans="1:34" ht="15.75" customHeight="1" x14ac:dyDescent="0.25">
      <c r="A2166" s="3"/>
      <c r="B2166" s="3"/>
      <c r="C2166" s="18"/>
      <c r="D2166" s="18"/>
      <c r="E2166" s="19"/>
      <c r="F2166" s="19"/>
      <c r="G2166" s="20"/>
      <c r="H2166" s="3"/>
      <c r="I2166" s="19"/>
      <c r="J2166" s="19"/>
      <c r="K2166" s="19"/>
      <c r="L2166" s="19"/>
      <c r="M2166" s="19"/>
      <c r="N2166" s="19"/>
      <c r="O2166" s="19"/>
      <c r="P2166" s="19"/>
      <c r="Q2166" s="19"/>
      <c r="R2166" s="19"/>
      <c r="S2166" s="19"/>
      <c r="T2166" s="19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  <c r="AG2166" s="3"/>
      <c r="AH2166" s="3"/>
    </row>
    <row r="2167" spans="1:34" ht="15.75" customHeight="1" x14ac:dyDescent="0.25">
      <c r="A2167" s="3"/>
      <c r="B2167" s="3"/>
      <c r="C2167" s="18"/>
      <c r="D2167" s="18"/>
      <c r="E2167" s="19"/>
      <c r="F2167" s="19"/>
      <c r="G2167" s="20"/>
      <c r="H2167" s="3"/>
      <c r="I2167" s="19"/>
      <c r="J2167" s="19"/>
      <c r="K2167" s="19"/>
      <c r="L2167" s="19"/>
      <c r="M2167" s="19"/>
      <c r="N2167" s="19"/>
      <c r="O2167" s="19"/>
      <c r="P2167" s="19"/>
      <c r="Q2167" s="19"/>
      <c r="R2167" s="19"/>
      <c r="S2167" s="19"/>
      <c r="T2167" s="19"/>
      <c r="U2167" s="3"/>
      <c r="V2167" s="3"/>
      <c r="W2167" s="3"/>
      <c r="X2167" s="3"/>
      <c r="Y2167" s="3"/>
      <c r="Z2167" s="3"/>
      <c r="AA2167" s="3"/>
      <c r="AB2167" s="3"/>
      <c r="AC2167" s="3"/>
      <c r="AD2167" s="3"/>
      <c r="AE2167" s="3"/>
      <c r="AF2167" s="3"/>
      <c r="AG2167" s="3"/>
      <c r="AH2167" s="3"/>
    </row>
    <row r="2168" spans="1:34" ht="15.75" customHeight="1" x14ac:dyDescent="0.25">
      <c r="A2168" s="3"/>
      <c r="B2168" s="3"/>
      <c r="C2168" s="18"/>
      <c r="D2168" s="18"/>
      <c r="E2168" s="19"/>
      <c r="F2168" s="19"/>
      <c r="G2168" s="20"/>
      <c r="H2168" s="3"/>
      <c r="I2168" s="19"/>
      <c r="J2168" s="19"/>
      <c r="K2168" s="19"/>
      <c r="L2168" s="19"/>
      <c r="M2168" s="19"/>
      <c r="N2168" s="19"/>
      <c r="O2168" s="19"/>
      <c r="P2168" s="19"/>
      <c r="Q2168" s="19"/>
      <c r="R2168" s="19"/>
      <c r="S2168" s="19"/>
      <c r="T2168" s="19"/>
      <c r="U2168" s="3"/>
      <c r="V2168" s="3"/>
      <c r="W2168" s="3"/>
      <c r="X2168" s="3"/>
      <c r="Y2168" s="3"/>
      <c r="Z2168" s="3"/>
      <c r="AA2168" s="3"/>
      <c r="AB2168" s="3"/>
      <c r="AC2168" s="3"/>
      <c r="AD2168" s="3"/>
      <c r="AE2168" s="3"/>
      <c r="AF2168" s="3"/>
      <c r="AG2168" s="3"/>
      <c r="AH2168" s="3"/>
    </row>
    <row r="2169" spans="1:34" ht="15.75" customHeight="1" x14ac:dyDescent="0.25">
      <c r="A2169" s="3"/>
      <c r="B2169" s="3"/>
      <c r="C2169" s="18"/>
      <c r="D2169" s="18"/>
      <c r="E2169" s="19"/>
      <c r="F2169" s="19"/>
      <c r="G2169" s="20"/>
      <c r="H2169" s="3"/>
      <c r="I2169" s="19"/>
      <c r="J2169" s="19"/>
      <c r="K2169" s="19"/>
      <c r="L2169" s="19"/>
      <c r="M2169" s="19"/>
      <c r="N2169" s="19"/>
      <c r="O2169" s="19"/>
      <c r="P2169" s="19"/>
      <c r="Q2169" s="19"/>
      <c r="R2169" s="19"/>
      <c r="S2169" s="19"/>
      <c r="T2169" s="19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  <c r="AG2169" s="3"/>
      <c r="AH2169" s="3"/>
    </row>
    <row r="2170" spans="1:34" ht="15.75" customHeight="1" x14ac:dyDescent="0.25">
      <c r="A2170" s="3"/>
      <c r="B2170" s="3"/>
      <c r="C2170" s="18"/>
      <c r="D2170" s="18"/>
      <c r="E2170" s="19"/>
      <c r="F2170" s="19"/>
      <c r="G2170" s="20"/>
      <c r="H2170" s="3"/>
      <c r="I2170" s="19"/>
      <c r="J2170" s="19"/>
      <c r="K2170" s="19"/>
      <c r="L2170" s="19"/>
      <c r="M2170" s="19"/>
      <c r="N2170" s="19"/>
      <c r="O2170" s="19"/>
      <c r="P2170" s="19"/>
      <c r="Q2170" s="19"/>
      <c r="R2170" s="19"/>
      <c r="S2170" s="19"/>
      <c r="T2170" s="19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  <c r="AG2170" s="3"/>
      <c r="AH2170" s="3"/>
    </row>
    <row r="2171" spans="1:34" ht="15.75" customHeight="1" x14ac:dyDescent="0.25">
      <c r="A2171" s="3"/>
      <c r="B2171" s="3"/>
      <c r="C2171" s="18"/>
      <c r="D2171" s="18"/>
      <c r="E2171" s="19"/>
      <c r="F2171" s="19"/>
      <c r="G2171" s="20"/>
      <c r="H2171" s="3"/>
      <c r="I2171" s="19"/>
      <c r="J2171" s="19"/>
      <c r="K2171" s="19"/>
      <c r="L2171" s="19"/>
      <c r="M2171" s="19"/>
      <c r="N2171" s="19"/>
      <c r="O2171" s="19"/>
      <c r="P2171" s="19"/>
      <c r="Q2171" s="19"/>
      <c r="R2171" s="19"/>
      <c r="S2171" s="19"/>
      <c r="T2171" s="19"/>
      <c r="U2171" s="3"/>
      <c r="V2171" s="3"/>
      <c r="W2171" s="3"/>
      <c r="X2171" s="3"/>
      <c r="Y2171" s="3"/>
      <c r="Z2171" s="3"/>
      <c r="AA2171" s="3"/>
      <c r="AB2171" s="3"/>
      <c r="AC2171" s="3"/>
      <c r="AD2171" s="3"/>
      <c r="AE2171" s="3"/>
      <c r="AF2171" s="3"/>
      <c r="AG2171" s="3"/>
      <c r="AH2171" s="3"/>
    </row>
    <row r="2172" spans="1:34" ht="15.75" customHeight="1" x14ac:dyDescent="0.25">
      <c r="A2172" s="3"/>
      <c r="B2172" s="3"/>
      <c r="C2172" s="18"/>
      <c r="D2172" s="18"/>
      <c r="E2172" s="19"/>
      <c r="F2172" s="19"/>
      <c r="G2172" s="20"/>
      <c r="H2172" s="3"/>
      <c r="I2172" s="19"/>
      <c r="J2172" s="19"/>
      <c r="K2172" s="19"/>
      <c r="L2172" s="19"/>
      <c r="M2172" s="19"/>
      <c r="N2172" s="19"/>
      <c r="O2172" s="19"/>
      <c r="P2172" s="19"/>
      <c r="Q2172" s="19"/>
      <c r="R2172" s="19"/>
      <c r="S2172" s="19"/>
      <c r="T2172" s="19"/>
      <c r="U2172" s="3"/>
      <c r="V2172" s="3"/>
      <c r="W2172" s="3"/>
      <c r="X2172" s="3"/>
      <c r="Y2172" s="3"/>
      <c r="Z2172" s="3"/>
      <c r="AA2172" s="3"/>
      <c r="AB2172" s="3"/>
      <c r="AC2172" s="3"/>
      <c r="AD2172" s="3"/>
      <c r="AE2172" s="3"/>
      <c r="AF2172" s="3"/>
      <c r="AG2172" s="3"/>
      <c r="AH2172" s="3"/>
    </row>
    <row r="2173" spans="1:34" ht="15.75" customHeight="1" x14ac:dyDescent="0.25">
      <c r="A2173" s="3"/>
      <c r="B2173" s="3"/>
      <c r="C2173" s="18"/>
      <c r="D2173" s="18"/>
      <c r="E2173" s="19"/>
      <c r="F2173" s="19"/>
      <c r="G2173" s="20"/>
      <c r="H2173" s="3"/>
      <c r="I2173" s="19"/>
      <c r="J2173" s="19"/>
      <c r="K2173" s="19"/>
      <c r="L2173" s="19"/>
      <c r="M2173" s="19"/>
      <c r="N2173" s="19"/>
      <c r="O2173" s="19"/>
      <c r="P2173" s="19"/>
      <c r="Q2173" s="19"/>
      <c r="R2173" s="19"/>
      <c r="S2173" s="19"/>
      <c r="T2173" s="19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  <c r="AG2173" s="3"/>
      <c r="AH2173" s="3"/>
    </row>
    <row r="2174" spans="1:34" ht="15.75" customHeight="1" x14ac:dyDescent="0.25">
      <c r="A2174" s="3"/>
      <c r="B2174" s="3"/>
      <c r="C2174" s="18"/>
      <c r="D2174" s="18"/>
      <c r="E2174" s="19"/>
      <c r="F2174" s="19"/>
      <c r="G2174" s="20"/>
      <c r="H2174" s="3"/>
      <c r="I2174" s="19"/>
      <c r="J2174" s="19"/>
      <c r="K2174" s="19"/>
      <c r="L2174" s="19"/>
      <c r="M2174" s="19"/>
      <c r="N2174" s="19"/>
      <c r="O2174" s="19"/>
      <c r="P2174" s="19"/>
      <c r="Q2174" s="19"/>
      <c r="R2174" s="19"/>
      <c r="S2174" s="19"/>
      <c r="T2174" s="19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  <c r="AG2174" s="3"/>
      <c r="AH2174" s="3"/>
    </row>
    <row r="2175" spans="1:34" ht="15.75" customHeight="1" x14ac:dyDescent="0.25">
      <c r="A2175" s="3"/>
      <c r="B2175" s="3"/>
      <c r="C2175" s="18"/>
      <c r="D2175" s="18"/>
      <c r="E2175" s="19"/>
      <c r="F2175" s="19"/>
      <c r="G2175" s="20"/>
      <c r="H2175" s="3"/>
      <c r="I2175" s="19"/>
      <c r="J2175" s="19"/>
      <c r="K2175" s="19"/>
      <c r="L2175" s="19"/>
      <c r="M2175" s="19"/>
      <c r="N2175" s="19"/>
      <c r="O2175" s="19"/>
      <c r="P2175" s="19"/>
      <c r="Q2175" s="19"/>
      <c r="R2175" s="19"/>
      <c r="S2175" s="19"/>
      <c r="T2175" s="19"/>
      <c r="U2175" s="3"/>
      <c r="V2175" s="3"/>
      <c r="W2175" s="3"/>
      <c r="X2175" s="3"/>
      <c r="Y2175" s="3"/>
      <c r="Z2175" s="3"/>
      <c r="AA2175" s="3"/>
      <c r="AB2175" s="3"/>
      <c r="AC2175" s="3"/>
      <c r="AD2175" s="3"/>
      <c r="AE2175" s="3"/>
      <c r="AF2175" s="3"/>
      <c r="AG2175" s="3"/>
      <c r="AH2175" s="3"/>
    </row>
    <row r="2176" spans="1:34" ht="15.75" customHeight="1" x14ac:dyDescent="0.25">
      <c r="A2176" s="3"/>
      <c r="B2176" s="3"/>
      <c r="C2176" s="18"/>
      <c r="D2176" s="18"/>
      <c r="E2176" s="19"/>
      <c r="F2176" s="19"/>
      <c r="G2176" s="20"/>
      <c r="H2176" s="3"/>
      <c r="I2176" s="19"/>
      <c r="J2176" s="19"/>
      <c r="K2176" s="19"/>
      <c r="L2176" s="19"/>
      <c r="M2176" s="19"/>
      <c r="N2176" s="19"/>
      <c r="O2176" s="19"/>
      <c r="P2176" s="19"/>
      <c r="Q2176" s="19"/>
      <c r="R2176" s="19"/>
      <c r="S2176" s="19"/>
      <c r="T2176" s="19"/>
      <c r="U2176" s="3"/>
      <c r="V2176" s="3"/>
      <c r="W2176" s="3"/>
      <c r="X2176" s="3"/>
      <c r="Y2176" s="3"/>
      <c r="Z2176" s="3"/>
      <c r="AA2176" s="3"/>
      <c r="AB2176" s="3"/>
      <c r="AC2176" s="3"/>
      <c r="AD2176" s="3"/>
      <c r="AE2176" s="3"/>
      <c r="AF2176" s="3"/>
      <c r="AG2176" s="3"/>
      <c r="AH2176" s="3"/>
    </row>
    <row r="2177" spans="1:34" ht="15.75" customHeight="1" x14ac:dyDescent="0.25">
      <c r="A2177" s="3"/>
      <c r="B2177" s="3"/>
      <c r="C2177" s="18"/>
      <c r="D2177" s="18"/>
      <c r="E2177" s="19"/>
      <c r="F2177" s="19"/>
      <c r="G2177" s="20"/>
      <c r="H2177" s="3"/>
      <c r="I2177" s="19"/>
      <c r="J2177" s="19"/>
      <c r="K2177" s="19"/>
      <c r="L2177" s="19"/>
      <c r="M2177" s="19"/>
      <c r="N2177" s="19"/>
      <c r="O2177" s="19"/>
      <c r="P2177" s="19"/>
      <c r="Q2177" s="19"/>
      <c r="R2177" s="19"/>
      <c r="S2177" s="19"/>
      <c r="T2177" s="19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  <c r="AG2177" s="3"/>
      <c r="AH2177" s="3"/>
    </row>
    <row r="2178" spans="1:34" ht="15.75" customHeight="1" x14ac:dyDescent="0.25">
      <c r="A2178" s="3"/>
      <c r="B2178" s="3"/>
      <c r="C2178" s="18"/>
      <c r="D2178" s="18"/>
      <c r="E2178" s="19"/>
      <c r="F2178" s="19"/>
      <c r="G2178" s="20"/>
      <c r="H2178" s="3"/>
      <c r="I2178" s="19"/>
      <c r="J2178" s="19"/>
      <c r="K2178" s="19"/>
      <c r="L2178" s="19"/>
      <c r="M2178" s="19"/>
      <c r="N2178" s="19"/>
      <c r="O2178" s="19"/>
      <c r="P2178" s="19"/>
      <c r="Q2178" s="19"/>
      <c r="R2178" s="19"/>
      <c r="S2178" s="19"/>
      <c r="T2178" s="19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  <c r="AG2178" s="3"/>
      <c r="AH2178" s="3"/>
    </row>
    <row r="2179" spans="1:34" ht="15.75" customHeight="1" x14ac:dyDescent="0.25">
      <c r="A2179" s="3"/>
      <c r="B2179" s="3"/>
      <c r="C2179" s="18"/>
      <c r="D2179" s="18"/>
      <c r="E2179" s="19"/>
      <c r="F2179" s="19"/>
      <c r="G2179" s="20"/>
      <c r="H2179" s="3"/>
      <c r="I2179" s="19"/>
      <c r="J2179" s="19"/>
      <c r="K2179" s="19"/>
      <c r="L2179" s="19"/>
      <c r="M2179" s="19"/>
      <c r="N2179" s="19"/>
      <c r="O2179" s="19"/>
      <c r="P2179" s="19"/>
      <c r="Q2179" s="19"/>
      <c r="R2179" s="19"/>
      <c r="S2179" s="19"/>
      <c r="T2179" s="19"/>
      <c r="U2179" s="3"/>
      <c r="V2179" s="3"/>
      <c r="W2179" s="3"/>
      <c r="X2179" s="3"/>
      <c r="Y2179" s="3"/>
      <c r="Z2179" s="3"/>
      <c r="AA2179" s="3"/>
      <c r="AB2179" s="3"/>
      <c r="AC2179" s="3"/>
      <c r="AD2179" s="3"/>
      <c r="AE2179" s="3"/>
      <c r="AF2179" s="3"/>
      <c r="AG2179" s="3"/>
      <c r="AH2179" s="3"/>
    </row>
    <row r="2180" spans="1:34" ht="15.75" customHeight="1" x14ac:dyDescent="0.25">
      <c r="A2180" s="3"/>
      <c r="B2180" s="3"/>
      <c r="C2180" s="18"/>
      <c r="D2180" s="18"/>
      <c r="E2180" s="19"/>
      <c r="F2180" s="19"/>
      <c r="G2180" s="20"/>
      <c r="H2180" s="3"/>
      <c r="I2180" s="19"/>
      <c r="J2180" s="19"/>
      <c r="K2180" s="19"/>
      <c r="L2180" s="19"/>
      <c r="M2180" s="19"/>
      <c r="N2180" s="19"/>
      <c r="O2180" s="19"/>
      <c r="P2180" s="19"/>
      <c r="Q2180" s="19"/>
      <c r="R2180" s="19"/>
      <c r="S2180" s="19"/>
      <c r="T2180" s="19"/>
      <c r="U2180" s="3"/>
      <c r="V2180" s="3"/>
      <c r="W2180" s="3"/>
      <c r="X2180" s="3"/>
      <c r="Y2180" s="3"/>
      <c r="Z2180" s="3"/>
      <c r="AA2180" s="3"/>
      <c r="AB2180" s="3"/>
      <c r="AC2180" s="3"/>
      <c r="AD2180" s="3"/>
      <c r="AE2180" s="3"/>
      <c r="AF2180" s="3"/>
      <c r="AG2180" s="3"/>
      <c r="AH2180" s="3"/>
    </row>
    <row r="2181" spans="1:34" ht="15.75" customHeight="1" x14ac:dyDescent="0.25">
      <c r="A2181" s="3"/>
      <c r="B2181" s="3"/>
      <c r="C2181" s="18"/>
      <c r="D2181" s="18"/>
      <c r="E2181" s="19"/>
      <c r="F2181" s="19"/>
      <c r="G2181" s="20"/>
      <c r="H2181" s="3"/>
      <c r="I2181" s="19"/>
      <c r="J2181" s="19"/>
      <c r="K2181" s="19"/>
      <c r="L2181" s="19"/>
      <c r="M2181" s="19"/>
      <c r="N2181" s="19"/>
      <c r="O2181" s="19"/>
      <c r="P2181" s="19"/>
      <c r="Q2181" s="19"/>
      <c r="R2181" s="19"/>
      <c r="S2181" s="19"/>
      <c r="T2181" s="19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  <c r="AG2181" s="3"/>
      <c r="AH2181" s="3"/>
    </row>
    <row r="2182" spans="1:34" ht="15.75" customHeight="1" x14ac:dyDescent="0.25">
      <c r="A2182" s="3"/>
      <c r="B2182" s="3"/>
      <c r="C2182" s="18"/>
      <c r="D2182" s="18"/>
      <c r="E2182" s="19"/>
      <c r="F2182" s="19"/>
      <c r="G2182" s="20"/>
      <c r="H2182" s="3"/>
      <c r="I2182" s="19"/>
      <c r="J2182" s="19"/>
      <c r="K2182" s="19"/>
      <c r="L2182" s="19"/>
      <c r="M2182" s="19"/>
      <c r="N2182" s="19"/>
      <c r="O2182" s="19"/>
      <c r="P2182" s="19"/>
      <c r="Q2182" s="19"/>
      <c r="R2182" s="19"/>
      <c r="S2182" s="19"/>
      <c r="T2182" s="19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  <c r="AG2182" s="3"/>
      <c r="AH2182" s="3"/>
    </row>
    <row r="2183" spans="1:34" ht="15.75" customHeight="1" x14ac:dyDescent="0.25">
      <c r="A2183" s="3"/>
      <c r="B2183" s="3"/>
      <c r="C2183" s="18"/>
      <c r="D2183" s="18"/>
      <c r="E2183" s="19"/>
      <c r="F2183" s="19"/>
      <c r="G2183" s="20"/>
      <c r="H2183" s="3"/>
      <c r="I2183" s="19"/>
      <c r="J2183" s="19"/>
      <c r="K2183" s="19"/>
      <c r="L2183" s="19"/>
      <c r="M2183" s="19"/>
      <c r="N2183" s="19"/>
      <c r="O2183" s="19"/>
      <c r="P2183" s="19"/>
      <c r="Q2183" s="19"/>
      <c r="R2183" s="19"/>
      <c r="S2183" s="19"/>
      <c r="T2183" s="19"/>
      <c r="U2183" s="3"/>
      <c r="V2183" s="3"/>
      <c r="W2183" s="3"/>
      <c r="X2183" s="3"/>
      <c r="Y2183" s="3"/>
      <c r="Z2183" s="3"/>
      <c r="AA2183" s="3"/>
      <c r="AB2183" s="3"/>
      <c r="AC2183" s="3"/>
      <c r="AD2183" s="3"/>
      <c r="AE2183" s="3"/>
      <c r="AF2183" s="3"/>
      <c r="AG2183" s="3"/>
      <c r="AH2183" s="3"/>
    </row>
    <row r="2184" spans="1:34" ht="15.75" customHeight="1" x14ac:dyDescent="0.25">
      <c r="A2184" s="3"/>
      <c r="B2184" s="3"/>
      <c r="C2184" s="18"/>
      <c r="D2184" s="18"/>
      <c r="E2184" s="19"/>
      <c r="F2184" s="19"/>
      <c r="G2184" s="20"/>
      <c r="H2184" s="3"/>
      <c r="I2184" s="19"/>
      <c r="J2184" s="19"/>
      <c r="K2184" s="19"/>
      <c r="L2184" s="19"/>
      <c r="M2184" s="19"/>
      <c r="N2184" s="19"/>
      <c r="O2184" s="19"/>
      <c r="P2184" s="19"/>
      <c r="Q2184" s="19"/>
      <c r="R2184" s="19"/>
      <c r="S2184" s="19"/>
      <c r="T2184" s="19"/>
      <c r="U2184" s="3"/>
      <c r="V2184" s="3"/>
      <c r="W2184" s="3"/>
      <c r="X2184" s="3"/>
      <c r="Y2184" s="3"/>
      <c r="Z2184" s="3"/>
      <c r="AA2184" s="3"/>
      <c r="AB2184" s="3"/>
      <c r="AC2184" s="3"/>
      <c r="AD2184" s="3"/>
      <c r="AE2184" s="3"/>
      <c r="AF2184" s="3"/>
      <c r="AG2184" s="3"/>
      <c r="AH2184" s="3"/>
    </row>
    <row r="2185" spans="1:34" ht="15.75" customHeight="1" x14ac:dyDescent="0.25">
      <c r="A2185" s="3"/>
      <c r="B2185" s="3"/>
      <c r="C2185" s="18"/>
      <c r="D2185" s="18"/>
      <c r="E2185" s="19"/>
      <c r="F2185" s="19"/>
      <c r="G2185" s="20"/>
      <c r="H2185" s="3"/>
      <c r="I2185" s="19"/>
      <c r="J2185" s="19"/>
      <c r="K2185" s="19"/>
      <c r="L2185" s="19"/>
      <c r="M2185" s="19"/>
      <c r="N2185" s="19"/>
      <c r="O2185" s="19"/>
      <c r="P2185" s="19"/>
      <c r="Q2185" s="19"/>
      <c r="R2185" s="19"/>
      <c r="S2185" s="19"/>
      <c r="T2185" s="19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  <c r="AG2185" s="3"/>
      <c r="AH2185" s="3"/>
    </row>
    <row r="2186" spans="1:34" ht="15.75" customHeight="1" x14ac:dyDescent="0.25">
      <c r="A2186" s="3"/>
      <c r="B2186" s="3"/>
      <c r="C2186" s="18"/>
      <c r="D2186" s="18"/>
      <c r="E2186" s="19"/>
      <c r="F2186" s="19"/>
      <c r="G2186" s="20"/>
      <c r="H2186" s="3"/>
      <c r="I2186" s="19"/>
      <c r="J2186" s="19"/>
      <c r="K2186" s="19"/>
      <c r="L2186" s="19"/>
      <c r="M2186" s="19"/>
      <c r="N2186" s="19"/>
      <c r="O2186" s="19"/>
      <c r="P2186" s="19"/>
      <c r="Q2186" s="19"/>
      <c r="R2186" s="19"/>
      <c r="S2186" s="19"/>
      <c r="T2186" s="19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  <c r="AG2186" s="3"/>
      <c r="AH2186" s="3"/>
    </row>
    <row r="2187" spans="1:34" ht="15.75" customHeight="1" x14ac:dyDescent="0.25">
      <c r="A2187" s="3"/>
      <c r="B2187" s="3"/>
      <c r="C2187" s="18"/>
      <c r="D2187" s="18"/>
      <c r="E2187" s="19"/>
      <c r="F2187" s="19"/>
      <c r="G2187" s="20"/>
      <c r="H2187" s="3"/>
      <c r="I2187" s="19"/>
      <c r="J2187" s="19"/>
      <c r="K2187" s="19"/>
      <c r="L2187" s="19"/>
      <c r="M2187" s="19"/>
      <c r="N2187" s="19"/>
      <c r="O2187" s="19"/>
      <c r="P2187" s="19"/>
      <c r="Q2187" s="19"/>
      <c r="R2187" s="19"/>
      <c r="S2187" s="19"/>
      <c r="T2187" s="19"/>
      <c r="U2187" s="3"/>
      <c r="V2187" s="3"/>
      <c r="W2187" s="3"/>
      <c r="X2187" s="3"/>
      <c r="Y2187" s="3"/>
      <c r="Z2187" s="3"/>
      <c r="AA2187" s="3"/>
      <c r="AB2187" s="3"/>
      <c r="AC2187" s="3"/>
      <c r="AD2187" s="3"/>
      <c r="AE2187" s="3"/>
      <c r="AF2187" s="3"/>
      <c r="AG2187" s="3"/>
      <c r="AH2187" s="3"/>
    </row>
    <row r="2188" spans="1:34" ht="15.75" customHeight="1" x14ac:dyDescent="0.25">
      <c r="A2188" s="3"/>
      <c r="B2188" s="3"/>
      <c r="C2188" s="18"/>
      <c r="D2188" s="18"/>
      <c r="E2188" s="19"/>
      <c r="F2188" s="19"/>
      <c r="G2188" s="20"/>
      <c r="H2188" s="3"/>
      <c r="I2188" s="19"/>
      <c r="J2188" s="19"/>
      <c r="K2188" s="19"/>
      <c r="L2188" s="19"/>
      <c r="M2188" s="19"/>
      <c r="N2188" s="19"/>
      <c r="O2188" s="19"/>
      <c r="P2188" s="19"/>
      <c r="Q2188" s="19"/>
      <c r="R2188" s="19"/>
      <c r="S2188" s="19"/>
      <c r="T2188" s="19"/>
      <c r="U2188" s="3"/>
      <c r="V2188" s="3"/>
      <c r="W2188" s="3"/>
      <c r="X2188" s="3"/>
      <c r="Y2188" s="3"/>
      <c r="Z2188" s="3"/>
      <c r="AA2188" s="3"/>
      <c r="AB2188" s="3"/>
      <c r="AC2188" s="3"/>
      <c r="AD2188" s="3"/>
      <c r="AE2188" s="3"/>
      <c r="AF2188" s="3"/>
      <c r="AG2188" s="3"/>
      <c r="AH2188" s="3"/>
    </row>
    <row r="2189" spans="1:34" ht="15.75" customHeight="1" x14ac:dyDescent="0.25">
      <c r="A2189" s="3"/>
      <c r="B2189" s="3"/>
      <c r="C2189" s="18"/>
      <c r="D2189" s="18"/>
      <c r="E2189" s="19"/>
      <c r="F2189" s="19"/>
      <c r="G2189" s="20"/>
      <c r="H2189" s="3"/>
      <c r="I2189" s="19"/>
      <c r="J2189" s="19"/>
      <c r="K2189" s="19"/>
      <c r="L2189" s="19"/>
      <c r="M2189" s="19"/>
      <c r="N2189" s="19"/>
      <c r="O2189" s="19"/>
      <c r="P2189" s="19"/>
      <c r="Q2189" s="19"/>
      <c r="R2189" s="19"/>
      <c r="S2189" s="19"/>
      <c r="T2189" s="19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  <c r="AG2189" s="3"/>
      <c r="AH2189" s="3"/>
    </row>
    <row r="2190" spans="1:34" ht="15.75" customHeight="1" x14ac:dyDescent="0.25">
      <c r="A2190" s="3"/>
      <c r="B2190" s="3"/>
      <c r="C2190" s="18"/>
      <c r="D2190" s="18"/>
      <c r="E2190" s="19"/>
      <c r="F2190" s="19"/>
      <c r="G2190" s="20"/>
      <c r="H2190" s="3"/>
      <c r="I2190" s="19"/>
      <c r="J2190" s="19"/>
      <c r="K2190" s="19"/>
      <c r="L2190" s="19"/>
      <c r="M2190" s="19"/>
      <c r="N2190" s="19"/>
      <c r="O2190" s="19"/>
      <c r="P2190" s="19"/>
      <c r="Q2190" s="19"/>
      <c r="R2190" s="19"/>
      <c r="S2190" s="19"/>
      <c r="T2190" s="19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  <c r="AG2190" s="3"/>
      <c r="AH2190" s="3"/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09"/>
  <sheetViews>
    <sheetView zoomScale="80" zoomScaleNormal="80" workbookViewId="0">
      <pane ySplit="1545" topLeftCell="A73" activePane="bottomLeft"/>
      <selection sqref="A1:XFD1048576"/>
      <selection pane="bottomLeft" activeCell="A109" sqref="A109:XFD109"/>
    </sheetView>
  </sheetViews>
  <sheetFormatPr defaultColWidth="9.109375" defaultRowHeight="15.75" customHeight="1" x14ac:dyDescent="0.25"/>
  <cols>
    <col min="1" max="1" width="9.109375" style="40"/>
    <col min="2" max="2" width="9.109375" style="40" customWidth="1"/>
    <col min="3" max="3" width="9.109375" style="55" customWidth="1"/>
    <col min="4" max="4" width="9.5546875" style="55" bestFit="1" customWidth="1"/>
    <col min="5" max="5" width="10.5546875" style="56" customWidth="1"/>
    <col min="6" max="6" width="9.109375" style="56" customWidth="1"/>
    <col min="7" max="7" width="9.5546875" style="57" bestFit="1" customWidth="1"/>
    <col min="8" max="8" width="9.109375" style="40" customWidth="1"/>
    <col min="9" max="9" width="9.109375" style="56"/>
    <col min="10" max="10" width="10.44140625" style="56" customWidth="1"/>
    <col min="11" max="16" width="9.109375" style="56"/>
    <col min="17" max="17" width="12.44140625" style="56" bestFit="1" customWidth="1"/>
    <col min="18" max="18" width="9.109375" style="56"/>
    <col min="19" max="19" width="11.44140625" style="56" customWidth="1"/>
    <col min="20" max="20" width="11.6640625" style="56" bestFit="1" customWidth="1"/>
    <col min="21" max="16384" width="9.109375" style="40"/>
  </cols>
  <sheetData>
    <row r="1" spans="1:20" ht="15.75" customHeight="1" x14ac:dyDescent="0.25">
      <c r="A1" s="132" t="s">
        <v>31</v>
      </c>
      <c r="B1" s="132"/>
      <c r="C1" s="132"/>
      <c r="D1" s="132"/>
      <c r="E1" s="132"/>
      <c r="F1" s="132"/>
      <c r="G1" s="132"/>
      <c r="H1" s="69"/>
      <c r="I1" s="131" t="s">
        <v>14</v>
      </c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s="48" customFormat="1" ht="60" x14ac:dyDescent="0.25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53" customFormat="1" ht="15.75" customHeight="1" x14ac:dyDescent="0.25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53" customFormat="1" ht="15.75" customHeight="1" x14ac:dyDescent="0.25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53" customFormat="1" ht="15.75" customHeight="1" x14ac:dyDescent="0.25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53" customFormat="1" ht="15.75" customHeight="1" x14ac:dyDescent="0.25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53" customFormat="1" ht="15.75" customHeight="1" x14ac:dyDescent="0.25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53" customFormat="1" ht="15.75" customHeight="1" x14ac:dyDescent="0.25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53" customFormat="1" ht="15.75" customHeight="1" x14ac:dyDescent="0.25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53" customFormat="1" ht="15.75" customHeight="1" x14ac:dyDescent="0.25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53" customFormat="1" ht="15.75" customHeight="1" x14ac:dyDescent="0.25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53" customFormat="1" ht="15.75" customHeight="1" x14ac:dyDescent="0.25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53" customFormat="1" ht="15.75" customHeight="1" x14ac:dyDescent="0.25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53" customFormat="1" ht="15.75" customHeight="1" x14ac:dyDescent="0.25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53" customFormat="1" ht="15.75" customHeight="1" x14ac:dyDescent="0.25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53" customFormat="1" ht="15.75" customHeight="1" x14ac:dyDescent="0.25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53" customFormat="1" ht="15.75" customHeight="1" x14ac:dyDescent="0.25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53" customFormat="1" ht="15.75" customHeight="1" x14ac:dyDescent="0.25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53" customFormat="1" ht="15.75" customHeight="1" x14ac:dyDescent="0.25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53" customFormat="1" ht="15.75" customHeight="1" x14ac:dyDescent="0.25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53" customFormat="1" ht="15.75" customHeight="1" x14ac:dyDescent="0.25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53" customFormat="1" ht="15.75" customHeight="1" x14ac:dyDescent="0.25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53" customFormat="1" ht="15.75" customHeight="1" x14ac:dyDescent="0.25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53" customFormat="1" ht="15.75" customHeight="1" x14ac:dyDescent="0.25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53" customFormat="1" ht="15.75" customHeight="1" x14ac:dyDescent="0.25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53" customFormat="1" ht="15.75" customHeight="1" x14ac:dyDescent="0.25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53" customFormat="1" ht="15.75" customHeight="1" x14ac:dyDescent="0.25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53" customFormat="1" ht="15.75" customHeight="1" x14ac:dyDescent="0.25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53" customFormat="1" ht="15.75" customHeight="1" x14ac:dyDescent="0.25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53" customFormat="1" ht="15.75" customHeight="1" x14ac:dyDescent="0.25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53" customFormat="1" ht="15.75" customHeight="1" x14ac:dyDescent="0.25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53" customFormat="1" ht="15.75" customHeight="1" x14ac:dyDescent="0.25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53" customFormat="1" ht="15.75" customHeight="1" x14ac:dyDescent="0.25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53" customFormat="1" ht="15.75" customHeight="1" x14ac:dyDescent="0.25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53" customFormat="1" ht="15.75" customHeight="1" x14ac:dyDescent="0.25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53" customFormat="1" ht="15.75" customHeight="1" x14ac:dyDescent="0.25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53" customFormat="1" ht="15.75" customHeight="1" x14ac:dyDescent="0.25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53" customFormat="1" ht="15.75" customHeight="1" x14ac:dyDescent="0.25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53" customFormat="1" ht="15.75" customHeight="1" x14ac:dyDescent="0.25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5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53" customFormat="1" ht="15.75" customHeight="1" x14ac:dyDescent="0.25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5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53" customFormat="1" ht="15.75" customHeight="1" x14ac:dyDescent="0.25">
      <c r="A41" s="71">
        <v>1957</v>
      </c>
      <c r="B41" s="71">
        <v>12</v>
      </c>
      <c r="C41" s="72">
        <f t="shared" si="0"/>
        <v>39.677777777777777</v>
      </c>
      <c r="D41" s="72">
        <f t="shared" si="1"/>
        <v>476.13333333333333</v>
      </c>
      <c r="E41" s="76">
        <v>2216.1</v>
      </c>
      <c r="F41" s="73">
        <f t="shared" si="2"/>
        <v>55.85242229067488</v>
      </c>
      <c r="G41" s="74">
        <f t="shared" si="3"/>
        <v>1.7904326419285133E-2</v>
      </c>
      <c r="H41" s="75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6">
        <v>0</v>
      </c>
      <c r="P41" s="76">
        <v>0</v>
      </c>
      <c r="Q41" s="76">
        <v>0</v>
      </c>
      <c r="R41" s="76">
        <v>44.3</v>
      </c>
      <c r="S41" s="76">
        <v>59.333333333333336</v>
      </c>
      <c r="T41" s="76">
        <v>65</v>
      </c>
    </row>
    <row r="42" spans="1:20" s="53" customFormat="1" ht="15.75" customHeight="1" x14ac:dyDescent="0.25">
      <c r="A42" s="71">
        <v>1958</v>
      </c>
      <c r="B42" s="71">
        <v>12</v>
      </c>
      <c r="C42" s="72">
        <f t="shared" si="0"/>
        <v>43.502777777777773</v>
      </c>
      <c r="D42" s="72">
        <f t="shared" si="1"/>
        <v>522.0333333333333</v>
      </c>
      <c r="E42" s="76">
        <v>2216.1</v>
      </c>
      <c r="F42" s="73">
        <f t="shared" si="2"/>
        <v>50.941574612093738</v>
      </c>
      <c r="G42" s="74">
        <f t="shared" si="3"/>
        <v>1.9630331563457323E-2</v>
      </c>
      <c r="H42" s="75"/>
      <c r="I42" s="76">
        <v>65</v>
      </c>
      <c r="J42" s="76">
        <v>65</v>
      </c>
      <c r="K42" s="76">
        <v>70</v>
      </c>
      <c r="L42" s="76">
        <v>70</v>
      </c>
      <c r="M42" s="76">
        <v>70</v>
      </c>
      <c r="N42" s="76">
        <v>44.333333333333336</v>
      </c>
      <c r="O42" s="76">
        <v>0</v>
      </c>
      <c r="P42" s="76">
        <v>0</v>
      </c>
      <c r="Q42" s="76">
        <v>0</v>
      </c>
      <c r="R42" s="76">
        <v>7.7</v>
      </c>
      <c r="S42" s="76">
        <v>65</v>
      </c>
      <c r="T42" s="76">
        <v>65</v>
      </c>
    </row>
    <row r="43" spans="1:20" s="53" customFormat="1" ht="15.75" customHeight="1" x14ac:dyDescent="0.25">
      <c r="A43" s="71">
        <v>1959</v>
      </c>
      <c r="B43" s="71">
        <v>12</v>
      </c>
      <c r="C43" s="72">
        <f t="shared" si="0"/>
        <v>24.981003584229388</v>
      </c>
      <c r="D43" s="72">
        <f t="shared" si="1"/>
        <v>299.77204301075267</v>
      </c>
      <c r="E43" s="76">
        <v>2216.1</v>
      </c>
      <c r="F43" s="73">
        <f t="shared" si="2"/>
        <v>88.711407951561768</v>
      </c>
      <c r="G43" s="74">
        <f t="shared" si="3"/>
        <v>1.127250737070953E-2</v>
      </c>
      <c r="H43" s="75"/>
      <c r="I43" s="76">
        <v>65</v>
      </c>
      <c r="J43" s="76">
        <v>65</v>
      </c>
      <c r="K43" s="76">
        <v>70</v>
      </c>
      <c r="L43" s="76">
        <v>68.13333333333334</v>
      </c>
      <c r="M43" s="76">
        <v>24.838709677419356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6.8</v>
      </c>
    </row>
    <row r="44" spans="1:20" s="53" customFormat="1" ht="15.75" customHeight="1" x14ac:dyDescent="0.25">
      <c r="A44" s="71">
        <v>1960</v>
      </c>
      <c r="B44" s="71">
        <v>12</v>
      </c>
      <c r="C44" s="72">
        <f t="shared" si="0"/>
        <v>52.009176863181317</v>
      </c>
      <c r="D44" s="72">
        <f t="shared" si="1"/>
        <v>624.11012235817577</v>
      </c>
      <c r="E44" s="76">
        <v>2216.1</v>
      </c>
      <c r="F44" s="73">
        <f t="shared" si="2"/>
        <v>42.609787996257182</v>
      </c>
      <c r="G44" s="74">
        <f t="shared" si="3"/>
        <v>2.3468786094120897E-2</v>
      </c>
      <c r="H44" s="75"/>
      <c r="I44" s="76">
        <v>91.903225806451616</v>
      </c>
      <c r="J44" s="76">
        <v>93.206896551724142</v>
      </c>
      <c r="K44" s="76">
        <v>96.6</v>
      </c>
      <c r="L44" s="76">
        <v>92.2</v>
      </c>
      <c r="M44" s="76">
        <v>91</v>
      </c>
      <c r="N44" s="76">
        <v>6</v>
      </c>
      <c r="O44" s="76">
        <v>0</v>
      </c>
      <c r="P44" s="76">
        <v>0</v>
      </c>
      <c r="Q44" s="76">
        <v>0</v>
      </c>
      <c r="R44" s="76">
        <v>3</v>
      </c>
      <c r="S44" s="76">
        <v>70.2</v>
      </c>
      <c r="T44" s="76">
        <v>80</v>
      </c>
    </row>
    <row r="45" spans="1:20" s="53" customFormat="1" ht="15.75" customHeight="1" x14ac:dyDescent="0.25">
      <c r="A45" s="71">
        <v>1961</v>
      </c>
      <c r="B45" s="71">
        <v>12</v>
      </c>
      <c r="C45" s="72">
        <f t="shared" si="0"/>
        <v>51.043535586277521</v>
      </c>
      <c r="D45" s="72">
        <f t="shared" si="1"/>
        <v>612.52242703533022</v>
      </c>
      <c r="E45" s="76">
        <v>2216.1</v>
      </c>
      <c r="F45" s="73">
        <f t="shared" si="2"/>
        <v>43.415879690664951</v>
      </c>
      <c r="G45" s="74">
        <f t="shared" si="3"/>
        <v>2.3033047058470972E-2</v>
      </c>
      <c r="H45" s="75"/>
      <c r="I45" s="76">
        <v>80</v>
      </c>
      <c r="J45" s="76">
        <v>80.142857142857139</v>
      </c>
      <c r="K45" s="76">
        <v>84</v>
      </c>
      <c r="L45" s="76">
        <v>76.099999999999994</v>
      </c>
      <c r="M45" s="76">
        <v>71</v>
      </c>
      <c r="N45" s="76">
        <v>33.133333333333333</v>
      </c>
      <c r="O45" s="76">
        <v>0</v>
      </c>
      <c r="P45" s="76">
        <v>0</v>
      </c>
      <c r="Q45" s="76">
        <v>0</v>
      </c>
      <c r="R45" s="76">
        <v>12.612903225806452</v>
      </c>
      <c r="S45" s="76">
        <v>85.533333333333331</v>
      </c>
      <c r="T45" s="76">
        <v>90</v>
      </c>
    </row>
    <row r="46" spans="1:20" s="53" customFormat="1" ht="15.75" customHeight="1" x14ac:dyDescent="0.25">
      <c r="A46" s="71">
        <v>1962</v>
      </c>
      <c r="B46" s="71">
        <v>12</v>
      </c>
      <c r="C46" s="72">
        <f t="shared" si="0"/>
        <v>51.288888888888891</v>
      </c>
      <c r="D46" s="72">
        <f t="shared" si="1"/>
        <v>615.4666666666667</v>
      </c>
      <c r="E46" s="76">
        <v>2216.1</v>
      </c>
      <c r="F46" s="73">
        <f t="shared" si="2"/>
        <v>43.20818890814558</v>
      </c>
      <c r="G46" s="74">
        <f t="shared" si="3"/>
        <v>2.3143761061725054E-2</v>
      </c>
      <c r="H46" s="75"/>
      <c r="I46" s="76">
        <v>90</v>
      </c>
      <c r="J46" s="76">
        <v>90</v>
      </c>
      <c r="K46" s="76">
        <v>94</v>
      </c>
      <c r="L46" s="76">
        <v>93.033333333333331</v>
      </c>
      <c r="M46" s="76">
        <v>78</v>
      </c>
      <c r="N46" s="76">
        <v>0</v>
      </c>
      <c r="O46" s="76">
        <v>0</v>
      </c>
      <c r="P46" s="76">
        <v>0</v>
      </c>
      <c r="Q46" s="76">
        <v>0</v>
      </c>
      <c r="R46" s="76">
        <v>33.1</v>
      </c>
      <c r="S46" s="76">
        <v>67.333333333333329</v>
      </c>
      <c r="T46" s="76">
        <v>70</v>
      </c>
    </row>
    <row r="47" spans="1:20" s="53" customFormat="1" ht="15.75" customHeight="1" x14ac:dyDescent="0.25">
      <c r="A47" s="71">
        <v>1963</v>
      </c>
      <c r="B47" s="71">
        <v>12</v>
      </c>
      <c r="C47" s="72">
        <f t="shared" si="0"/>
        <v>29.152777777777782</v>
      </c>
      <c r="D47" s="72">
        <f t="shared" si="1"/>
        <v>349.83333333333337</v>
      </c>
      <c r="E47" s="76">
        <v>2216.1</v>
      </c>
      <c r="F47" s="73">
        <f t="shared" si="2"/>
        <v>76.016769890424001</v>
      </c>
      <c r="G47" s="74">
        <f t="shared" si="3"/>
        <v>1.315499200296818E-2</v>
      </c>
      <c r="H47" s="75"/>
      <c r="I47" s="76">
        <v>70</v>
      </c>
      <c r="J47" s="76">
        <v>70</v>
      </c>
      <c r="K47" s="76">
        <v>74</v>
      </c>
      <c r="L47" s="76">
        <v>58.733333333333334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10.7</v>
      </c>
      <c r="T47" s="76">
        <v>66.400000000000006</v>
      </c>
    </row>
    <row r="48" spans="1:20" s="53" customFormat="1" ht="15.75" customHeight="1" x14ac:dyDescent="0.25">
      <c r="A48" s="71">
        <v>1964</v>
      </c>
      <c r="B48" s="71">
        <v>12</v>
      </c>
      <c r="C48" s="72">
        <f t="shared" si="0"/>
        <v>34.221440489432709</v>
      </c>
      <c r="D48" s="72">
        <f t="shared" si="1"/>
        <v>410.65728587319251</v>
      </c>
      <c r="E48" s="76">
        <v>2216.1</v>
      </c>
      <c r="F48" s="73">
        <f t="shared" si="2"/>
        <v>64.757648079843776</v>
      </c>
      <c r="G48" s="74">
        <f t="shared" si="3"/>
        <v>1.5442191457710712E-2</v>
      </c>
      <c r="H48" s="75"/>
      <c r="I48" s="76">
        <v>70</v>
      </c>
      <c r="J48" s="76">
        <v>78.137931034482762</v>
      </c>
      <c r="K48" s="76">
        <v>82</v>
      </c>
      <c r="L48" s="76">
        <v>82</v>
      </c>
      <c r="M48" s="76">
        <v>8.4193548387096779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9.1</v>
      </c>
      <c r="T48" s="76">
        <v>81</v>
      </c>
    </row>
    <row r="49" spans="1:20" s="53" customFormat="1" ht="15.75" customHeight="1" x14ac:dyDescent="0.25">
      <c r="A49" s="71">
        <v>1965</v>
      </c>
      <c r="B49" s="71">
        <v>12</v>
      </c>
      <c r="C49" s="72">
        <f t="shared" si="0"/>
        <v>42.608333333333327</v>
      </c>
      <c r="D49" s="72">
        <f t="shared" si="1"/>
        <v>511.29999999999995</v>
      </c>
      <c r="E49" s="76">
        <v>2216.1</v>
      </c>
      <c r="F49" s="73">
        <f t="shared" si="2"/>
        <v>52.01095247408567</v>
      </c>
      <c r="G49" s="74">
        <f t="shared" si="3"/>
        <v>1.9226719612532524E-2</v>
      </c>
      <c r="H49" s="75"/>
      <c r="I49" s="76">
        <v>86.3</v>
      </c>
      <c r="J49" s="76">
        <v>86.4</v>
      </c>
      <c r="K49" s="76">
        <v>87.6</v>
      </c>
      <c r="L49" s="76">
        <v>89.4</v>
      </c>
      <c r="M49" s="76">
        <v>59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24.1</v>
      </c>
      <c r="T49" s="76">
        <v>78.5</v>
      </c>
    </row>
    <row r="50" spans="1:20" s="53" customFormat="1" ht="15.75" customHeight="1" x14ac:dyDescent="0.25">
      <c r="A50" s="71">
        <v>1966</v>
      </c>
      <c r="B50" s="71">
        <v>12</v>
      </c>
      <c r="C50" s="72">
        <f t="shared" si="0"/>
        <v>49.574999999999996</v>
      </c>
      <c r="D50" s="72">
        <f t="shared" si="1"/>
        <v>594.9</v>
      </c>
      <c r="E50" s="76">
        <v>2216.1</v>
      </c>
      <c r="F50" s="73">
        <f t="shared" si="2"/>
        <v>44.70196671709531</v>
      </c>
      <c r="G50" s="74">
        <f t="shared" si="3"/>
        <v>2.2370380397996478E-2</v>
      </c>
      <c r="H50" s="75"/>
      <c r="I50" s="76">
        <v>100</v>
      </c>
      <c r="J50" s="76">
        <v>100</v>
      </c>
      <c r="K50" s="76">
        <v>105</v>
      </c>
      <c r="L50" s="76">
        <v>105</v>
      </c>
      <c r="M50" s="76">
        <v>56.1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48.3</v>
      </c>
      <c r="T50" s="76">
        <v>80.5</v>
      </c>
    </row>
    <row r="51" spans="1:20" s="53" customFormat="1" ht="15.75" customHeight="1" x14ac:dyDescent="0.25">
      <c r="A51" s="71">
        <v>1967</v>
      </c>
      <c r="B51" s="71">
        <v>12</v>
      </c>
      <c r="C51" s="72">
        <f t="shared" si="0"/>
        <v>44.949999999999996</v>
      </c>
      <c r="D51" s="72">
        <f t="shared" si="1"/>
        <v>539.4</v>
      </c>
      <c r="E51" s="76">
        <v>2216.1</v>
      </c>
      <c r="F51" s="73">
        <f t="shared" si="2"/>
        <v>49.301446051167964</v>
      </c>
      <c r="G51" s="74">
        <f t="shared" si="3"/>
        <v>2.0283380713866702E-2</v>
      </c>
      <c r="H51" s="75"/>
      <c r="I51" s="76">
        <v>95</v>
      </c>
      <c r="J51" s="76">
        <v>95</v>
      </c>
      <c r="K51" s="76">
        <v>94.2</v>
      </c>
      <c r="L51" s="76">
        <v>99.3</v>
      </c>
      <c r="M51" s="76">
        <v>61.3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26</v>
      </c>
      <c r="T51" s="76">
        <v>68.599999999999994</v>
      </c>
    </row>
    <row r="52" spans="1:20" s="53" customFormat="1" ht="15.75" customHeight="1" x14ac:dyDescent="0.25">
      <c r="A52" s="71">
        <v>1968</v>
      </c>
      <c r="B52" s="71">
        <v>12</v>
      </c>
      <c r="C52" s="72">
        <f t="shared" si="0"/>
        <v>31.908333333333331</v>
      </c>
      <c r="D52" s="72">
        <f t="shared" si="1"/>
        <v>382.9</v>
      </c>
      <c r="E52" s="76">
        <v>2216.1</v>
      </c>
      <c r="F52" s="73">
        <f t="shared" si="2"/>
        <v>69.452076260120137</v>
      </c>
      <c r="G52" s="74">
        <f t="shared" si="3"/>
        <v>1.4398417640599853E-2</v>
      </c>
      <c r="H52" s="75"/>
      <c r="I52" s="76">
        <v>96</v>
      </c>
      <c r="J52" s="76">
        <v>86</v>
      </c>
      <c r="K52" s="76">
        <v>89</v>
      </c>
      <c r="L52" s="76">
        <v>88.7</v>
      </c>
      <c r="M52" s="76">
        <v>23.2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</row>
    <row r="53" spans="1:20" s="53" customFormat="1" ht="15.75" customHeight="1" x14ac:dyDescent="0.25">
      <c r="A53" s="71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2216.1</v>
      </c>
      <c r="F53" s="73" t="e">
        <f t="shared" si="2"/>
        <v>#DIV/0!</v>
      </c>
      <c r="G53" s="74">
        <f t="shared" si="3"/>
        <v>0</v>
      </c>
      <c r="H53" s="75"/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</row>
    <row r="54" spans="1:20" s="53" customFormat="1" ht="15.75" customHeight="1" x14ac:dyDescent="0.25">
      <c r="A54" s="71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2216.1</v>
      </c>
      <c r="F54" s="73" t="e">
        <f t="shared" si="2"/>
        <v>#DIV/0!</v>
      </c>
      <c r="G54" s="74">
        <f t="shared" si="3"/>
        <v>0</v>
      </c>
      <c r="H54" s="75"/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</row>
    <row r="55" spans="1:20" s="53" customFormat="1" ht="15.75" customHeight="1" x14ac:dyDescent="0.25">
      <c r="A55" s="71">
        <v>1971</v>
      </c>
      <c r="B55" s="71">
        <v>12</v>
      </c>
      <c r="C55" s="72">
        <f t="shared" si="0"/>
        <v>3.9833333333333329</v>
      </c>
      <c r="D55" s="72">
        <f t="shared" si="1"/>
        <v>47.8</v>
      </c>
      <c r="E55" s="76">
        <v>2216.1</v>
      </c>
      <c r="F55" s="73">
        <f t="shared" si="2"/>
        <v>556.34309623430966</v>
      </c>
      <c r="G55" s="74">
        <f t="shared" si="3"/>
        <v>1.7974519802054659E-3</v>
      </c>
      <c r="H55" s="75"/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12.8</v>
      </c>
      <c r="T55" s="76">
        <v>35</v>
      </c>
    </row>
    <row r="56" spans="1:20" s="53" customFormat="1" ht="15.75" customHeight="1" x14ac:dyDescent="0.25">
      <c r="A56" s="71">
        <v>1972</v>
      </c>
      <c r="B56" s="71">
        <v>12</v>
      </c>
      <c r="C56" s="72">
        <f t="shared" si="0"/>
        <v>45.758333333333333</v>
      </c>
      <c r="D56" s="72">
        <f t="shared" si="1"/>
        <v>549.1</v>
      </c>
      <c r="E56" s="76">
        <v>2216.1</v>
      </c>
      <c r="F56" s="73">
        <f t="shared" si="2"/>
        <v>48.430522673465667</v>
      </c>
      <c r="G56" s="74">
        <f t="shared" si="3"/>
        <v>2.0648135613615511E-2</v>
      </c>
      <c r="H56" s="75"/>
      <c r="I56" s="76">
        <v>35</v>
      </c>
      <c r="J56" s="76">
        <v>35</v>
      </c>
      <c r="K56" s="76">
        <v>52.6</v>
      </c>
      <c r="L56" s="76">
        <v>52.7</v>
      </c>
      <c r="M56" s="76">
        <v>50.6</v>
      </c>
      <c r="N56" s="76">
        <v>52</v>
      </c>
      <c r="O56" s="76">
        <v>52</v>
      </c>
      <c r="P56" s="76">
        <v>52</v>
      </c>
      <c r="Q56" s="76">
        <v>52</v>
      </c>
      <c r="R56" s="76">
        <v>52</v>
      </c>
      <c r="S56" s="76">
        <v>16.100000000000001</v>
      </c>
      <c r="T56" s="76">
        <v>47.1</v>
      </c>
    </row>
    <row r="57" spans="1:20" s="53" customFormat="1" ht="15.75" customHeight="1" x14ac:dyDescent="0.25">
      <c r="A57" s="71">
        <v>1973</v>
      </c>
      <c r="B57" s="71">
        <v>12</v>
      </c>
      <c r="C57" s="72">
        <f t="shared" si="0"/>
        <v>38.408333333333331</v>
      </c>
      <c r="D57" s="72">
        <f t="shared" si="1"/>
        <v>460.9</v>
      </c>
      <c r="E57" s="76">
        <v>2216.1</v>
      </c>
      <c r="F57" s="73">
        <f t="shared" si="2"/>
        <v>57.698416142330224</v>
      </c>
      <c r="G57" s="74">
        <f t="shared" si="3"/>
        <v>1.7331498277755215E-2</v>
      </c>
      <c r="H57" s="75"/>
      <c r="I57" s="76">
        <v>41.6</v>
      </c>
      <c r="J57" s="76">
        <v>40</v>
      </c>
      <c r="K57" s="76">
        <v>40.799999999999997</v>
      </c>
      <c r="L57" s="76">
        <v>41</v>
      </c>
      <c r="M57" s="76">
        <v>41</v>
      </c>
      <c r="N57" s="76">
        <v>41</v>
      </c>
      <c r="O57" s="76">
        <v>41</v>
      </c>
      <c r="P57" s="76">
        <v>41</v>
      </c>
      <c r="Q57" s="76">
        <v>41</v>
      </c>
      <c r="R57" s="76">
        <v>41</v>
      </c>
      <c r="S57" s="76">
        <v>11.5</v>
      </c>
      <c r="T57" s="76">
        <v>40</v>
      </c>
    </row>
    <row r="58" spans="1:20" s="53" customFormat="1" ht="15.75" customHeight="1" x14ac:dyDescent="0.25">
      <c r="A58" s="71">
        <v>1974</v>
      </c>
      <c r="B58" s="71">
        <v>12</v>
      </c>
      <c r="C58" s="72">
        <f t="shared" si="0"/>
        <v>41.616666666666667</v>
      </c>
      <c r="D58" s="72">
        <f t="shared" si="1"/>
        <v>499.4</v>
      </c>
      <c r="E58" s="76">
        <v>2216.1</v>
      </c>
      <c r="F58" s="73">
        <f t="shared" si="2"/>
        <v>53.250300360432519</v>
      </c>
      <c r="G58" s="74">
        <f t="shared" si="3"/>
        <v>1.8779236797376773E-2</v>
      </c>
      <c r="H58" s="75"/>
      <c r="I58" s="76">
        <v>40</v>
      </c>
      <c r="J58" s="76">
        <v>40</v>
      </c>
      <c r="K58" s="76">
        <v>42</v>
      </c>
      <c r="L58" s="76">
        <v>43</v>
      </c>
      <c r="M58" s="76">
        <v>42.9</v>
      </c>
      <c r="N58" s="76">
        <v>43</v>
      </c>
      <c r="O58" s="76">
        <v>43</v>
      </c>
      <c r="P58" s="76">
        <v>43</v>
      </c>
      <c r="Q58" s="76">
        <v>43</v>
      </c>
      <c r="R58" s="76">
        <v>43</v>
      </c>
      <c r="S58" s="76">
        <v>35.5</v>
      </c>
      <c r="T58" s="76">
        <v>41</v>
      </c>
    </row>
    <row r="59" spans="1:20" s="53" customFormat="1" ht="15.75" customHeight="1" x14ac:dyDescent="0.25">
      <c r="A59" s="71">
        <v>1975</v>
      </c>
      <c r="B59" s="71">
        <v>12</v>
      </c>
      <c r="C59" s="72">
        <f t="shared" si="0"/>
        <v>42.341666666666661</v>
      </c>
      <c r="D59" s="72">
        <f t="shared" si="1"/>
        <v>508.09999999999997</v>
      </c>
      <c r="E59" s="76">
        <v>2216.1</v>
      </c>
      <c r="F59" s="73">
        <f t="shared" si="2"/>
        <v>52.338516040149578</v>
      </c>
      <c r="G59" s="74">
        <f t="shared" si="3"/>
        <v>1.910638809921333E-2</v>
      </c>
      <c r="H59" s="75"/>
      <c r="I59" s="76">
        <v>41</v>
      </c>
      <c r="J59" s="76">
        <v>41</v>
      </c>
      <c r="K59" s="76">
        <v>43.4</v>
      </c>
      <c r="L59" s="76">
        <v>44</v>
      </c>
      <c r="M59" s="76">
        <v>44</v>
      </c>
      <c r="N59" s="76">
        <v>44</v>
      </c>
      <c r="O59" s="76">
        <v>44</v>
      </c>
      <c r="P59" s="76">
        <v>44</v>
      </c>
      <c r="Q59" s="76">
        <v>44</v>
      </c>
      <c r="R59" s="76">
        <v>44</v>
      </c>
      <c r="S59" s="76">
        <v>32.700000000000003</v>
      </c>
      <c r="T59" s="76">
        <v>42</v>
      </c>
    </row>
    <row r="60" spans="1:20" s="53" customFormat="1" ht="15.75" customHeight="1" x14ac:dyDescent="0.25">
      <c r="A60" s="71">
        <v>1976</v>
      </c>
      <c r="B60" s="71">
        <v>12</v>
      </c>
      <c r="C60" s="72">
        <f t="shared" si="0"/>
        <v>42.783333333333331</v>
      </c>
      <c r="D60" s="72">
        <f t="shared" si="1"/>
        <v>513.4</v>
      </c>
      <c r="E60" s="76">
        <v>2216.1</v>
      </c>
      <c r="F60" s="73">
        <f t="shared" si="2"/>
        <v>51.798208024931824</v>
      </c>
      <c r="G60" s="74">
        <f t="shared" si="3"/>
        <v>1.9305687168148247E-2</v>
      </c>
      <c r="H60" s="75"/>
      <c r="I60" s="76">
        <v>42</v>
      </c>
      <c r="J60" s="76">
        <v>42</v>
      </c>
      <c r="K60" s="76">
        <v>44.7</v>
      </c>
      <c r="L60" s="76">
        <v>45</v>
      </c>
      <c r="M60" s="76">
        <v>44</v>
      </c>
      <c r="N60" s="76">
        <v>43.7</v>
      </c>
      <c r="O60" s="76">
        <v>43</v>
      </c>
      <c r="P60" s="76">
        <v>43</v>
      </c>
      <c r="Q60" s="76">
        <v>43</v>
      </c>
      <c r="R60" s="76">
        <v>43</v>
      </c>
      <c r="S60" s="76">
        <v>40</v>
      </c>
      <c r="T60" s="76">
        <v>40</v>
      </c>
    </row>
    <row r="61" spans="1:20" s="53" customFormat="1" ht="15.75" customHeight="1" x14ac:dyDescent="0.25">
      <c r="A61" s="71">
        <v>1977</v>
      </c>
      <c r="B61" s="71">
        <v>12</v>
      </c>
      <c r="C61" s="72">
        <f t="shared" si="0"/>
        <v>42</v>
      </c>
      <c r="D61" s="72">
        <f t="shared" si="1"/>
        <v>504</v>
      </c>
      <c r="E61" s="76">
        <v>2216.1</v>
      </c>
      <c r="F61" s="73">
        <f t="shared" si="2"/>
        <v>52.764285714285712</v>
      </c>
      <c r="G61" s="74">
        <f t="shared" si="3"/>
        <v>1.8952213347773115E-2</v>
      </c>
      <c r="H61" s="75"/>
      <c r="I61" s="76">
        <v>40</v>
      </c>
      <c r="J61" s="76">
        <v>40</v>
      </c>
      <c r="K61" s="76">
        <v>43</v>
      </c>
      <c r="L61" s="76">
        <v>43</v>
      </c>
      <c r="M61" s="76">
        <v>43</v>
      </c>
      <c r="N61" s="76">
        <v>43</v>
      </c>
      <c r="O61" s="76">
        <v>43</v>
      </c>
      <c r="P61" s="76">
        <v>43</v>
      </c>
      <c r="Q61" s="76">
        <v>43</v>
      </c>
      <c r="R61" s="76">
        <v>43</v>
      </c>
      <c r="S61" s="76">
        <v>40</v>
      </c>
      <c r="T61" s="76">
        <v>40</v>
      </c>
    </row>
    <row r="62" spans="1:20" s="53" customFormat="1" ht="15.75" customHeight="1" x14ac:dyDescent="0.25">
      <c r="A62" s="71">
        <v>1978</v>
      </c>
      <c r="B62" s="71">
        <v>12</v>
      </c>
      <c r="C62" s="72">
        <f t="shared" si="0"/>
        <v>42</v>
      </c>
      <c r="D62" s="72">
        <f t="shared" si="1"/>
        <v>504</v>
      </c>
      <c r="E62" s="76">
        <v>2216.1</v>
      </c>
      <c r="F62" s="73">
        <f t="shared" si="2"/>
        <v>52.764285714285712</v>
      </c>
      <c r="G62" s="74">
        <f t="shared" si="3"/>
        <v>1.8952213347773115E-2</v>
      </c>
      <c r="H62" s="75"/>
      <c r="I62" s="76">
        <v>40</v>
      </c>
      <c r="J62" s="76">
        <v>40</v>
      </c>
      <c r="K62" s="76">
        <v>43</v>
      </c>
      <c r="L62" s="76">
        <v>43</v>
      </c>
      <c r="M62" s="76">
        <v>43</v>
      </c>
      <c r="N62" s="76">
        <v>43</v>
      </c>
      <c r="O62" s="76">
        <v>43</v>
      </c>
      <c r="P62" s="76">
        <v>43</v>
      </c>
      <c r="Q62" s="76">
        <v>43</v>
      </c>
      <c r="R62" s="76">
        <v>43</v>
      </c>
      <c r="S62" s="76">
        <v>40</v>
      </c>
      <c r="T62" s="76">
        <v>40</v>
      </c>
    </row>
    <row r="63" spans="1:20" s="53" customFormat="1" ht="15.75" customHeight="1" x14ac:dyDescent="0.25">
      <c r="A63" s="71">
        <v>1979</v>
      </c>
      <c r="B63" s="71">
        <v>12</v>
      </c>
      <c r="C63" s="72">
        <f t="shared" si="0"/>
        <v>42</v>
      </c>
      <c r="D63" s="72">
        <f t="shared" si="1"/>
        <v>504</v>
      </c>
      <c r="E63" s="76">
        <v>2216.1</v>
      </c>
      <c r="F63" s="73">
        <f t="shared" si="2"/>
        <v>52.764285714285712</v>
      </c>
      <c r="G63" s="74">
        <f t="shared" si="3"/>
        <v>1.8952213347773115E-2</v>
      </c>
      <c r="H63" s="75"/>
      <c r="I63" s="76">
        <v>40</v>
      </c>
      <c r="J63" s="76">
        <v>40</v>
      </c>
      <c r="K63" s="76">
        <v>43</v>
      </c>
      <c r="L63" s="76">
        <v>43</v>
      </c>
      <c r="M63" s="76">
        <v>43</v>
      </c>
      <c r="N63" s="76">
        <v>43</v>
      </c>
      <c r="O63" s="76">
        <v>43</v>
      </c>
      <c r="P63" s="76">
        <v>43</v>
      </c>
      <c r="Q63" s="76">
        <v>43</v>
      </c>
      <c r="R63" s="76">
        <v>43</v>
      </c>
      <c r="S63" s="76">
        <v>40</v>
      </c>
      <c r="T63" s="76">
        <v>40</v>
      </c>
    </row>
    <row r="64" spans="1:20" s="53" customFormat="1" ht="15.75" customHeight="1" x14ac:dyDescent="0.25">
      <c r="A64" s="71">
        <v>1980</v>
      </c>
      <c r="B64" s="71">
        <v>12</v>
      </c>
      <c r="C64" s="72">
        <f t="shared" si="0"/>
        <v>40.333333333333336</v>
      </c>
      <c r="D64" s="72">
        <f t="shared" si="1"/>
        <v>484</v>
      </c>
      <c r="E64" s="76">
        <v>2216.1</v>
      </c>
      <c r="F64" s="73">
        <f t="shared" si="2"/>
        <v>54.944628099173549</v>
      </c>
      <c r="G64" s="74">
        <f t="shared" si="3"/>
        <v>1.8200141389528152E-2</v>
      </c>
      <c r="H64" s="75"/>
      <c r="I64" s="76">
        <v>40</v>
      </c>
      <c r="J64" s="76">
        <v>40</v>
      </c>
      <c r="K64" s="76">
        <v>43</v>
      </c>
      <c r="L64" s="76">
        <v>43</v>
      </c>
      <c r="M64" s="76">
        <v>43</v>
      </c>
      <c r="N64" s="76">
        <v>43</v>
      </c>
      <c r="O64" s="76">
        <v>43</v>
      </c>
      <c r="P64" s="76">
        <v>43</v>
      </c>
      <c r="Q64" s="76">
        <v>43</v>
      </c>
      <c r="R64" s="76">
        <v>43</v>
      </c>
      <c r="S64" s="76">
        <v>30</v>
      </c>
      <c r="T64" s="76">
        <v>30</v>
      </c>
    </row>
    <row r="65" spans="1:20" s="53" customFormat="1" ht="15.75" customHeight="1" x14ac:dyDescent="0.25">
      <c r="A65" s="71">
        <v>1981</v>
      </c>
      <c r="B65" s="71">
        <v>12</v>
      </c>
      <c r="C65" s="72">
        <f t="shared" si="0"/>
        <v>32</v>
      </c>
      <c r="D65" s="72">
        <f t="shared" si="1"/>
        <v>384</v>
      </c>
      <c r="E65" s="76">
        <v>2216.1</v>
      </c>
      <c r="F65" s="73">
        <f t="shared" si="2"/>
        <v>69.253124999999997</v>
      </c>
      <c r="G65" s="74">
        <f t="shared" si="3"/>
        <v>1.4439781598303326E-2</v>
      </c>
      <c r="H65" s="75"/>
      <c r="I65" s="76">
        <v>30</v>
      </c>
      <c r="J65" s="76">
        <v>30</v>
      </c>
      <c r="K65" s="76">
        <v>33</v>
      </c>
      <c r="L65" s="76">
        <v>33</v>
      </c>
      <c r="M65" s="76">
        <v>33</v>
      </c>
      <c r="N65" s="76">
        <v>33</v>
      </c>
      <c r="O65" s="76">
        <v>33</v>
      </c>
      <c r="P65" s="76">
        <v>33</v>
      </c>
      <c r="Q65" s="76">
        <v>33</v>
      </c>
      <c r="R65" s="76">
        <v>33</v>
      </c>
      <c r="S65" s="76">
        <v>30</v>
      </c>
      <c r="T65" s="76">
        <v>30</v>
      </c>
    </row>
    <row r="66" spans="1:20" s="53" customFormat="1" ht="15.75" customHeight="1" x14ac:dyDescent="0.25">
      <c r="A66" s="71">
        <v>1982</v>
      </c>
      <c r="B66" s="71">
        <v>12</v>
      </c>
      <c r="C66" s="72">
        <f t="shared" si="0"/>
        <v>33.666666666666664</v>
      </c>
      <c r="D66" s="72">
        <f t="shared" si="1"/>
        <v>404</v>
      </c>
      <c r="E66" s="76">
        <v>2216.1</v>
      </c>
      <c r="F66" s="73">
        <f t="shared" si="2"/>
        <v>65.824752475247521</v>
      </c>
      <c r="G66" s="74">
        <f t="shared" si="3"/>
        <v>1.519185355654829E-2</v>
      </c>
      <c r="H66" s="75"/>
      <c r="I66" s="76">
        <v>30</v>
      </c>
      <c r="J66" s="76">
        <v>30</v>
      </c>
      <c r="K66" s="76">
        <v>33</v>
      </c>
      <c r="L66" s="76">
        <v>33</v>
      </c>
      <c r="M66" s="76">
        <v>33</v>
      </c>
      <c r="N66" s="76">
        <v>33</v>
      </c>
      <c r="O66" s="76">
        <v>33</v>
      </c>
      <c r="P66" s="76">
        <v>33</v>
      </c>
      <c r="Q66" s="76">
        <v>33</v>
      </c>
      <c r="R66" s="76">
        <v>33</v>
      </c>
      <c r="S66" s="76">
        <v>40</v>
      </c>
      <c r="T66" s="76">
        <v>40</v>
      </c>
    </row>
    <row r="67" spans="1:20" s="53" customFormat="1" ht="15.75" customHeight="1" x14ac:dyDescent="0.25">
      <c r="A67" s="71">
        <v>1983</v>
      </c>
      <c r="B67" s="71">
        <v>12</v>
      </c>
      <c r="C67" s="72">
        <f t="shared" si="0"/>
        <v>42</v>
      </c>
      <c r="D67" s="72">
        <f t="shared" si="1"/>
        <v>504</v>
      </c>
      <c r="E67" s="76">
        <v>2216.1</v>
      </c>
      <c r="F67" s="73">
        <f t="shared" si="2"/>
        <v>52.764285714285712</v>
      </c>
      <c r="G67" s="74">
        <f t="shared" si="3"/>
        <v>1.8952213347773115E-2</v>
      </c>
      <c r="H67" s="75"/>
      <c r="I67" s="76">
        <v>40</v>
      </c>
      <c r="J67" s="76">
        <v>40</v>
      </c>
      <c r="K67" s="76">
        <v>43</v>
      </c>
      <c r="L67" s="76">
        <v>43</v>
      </c>
      <c r="M67" s="76">
        <v>43</v>
      </c>
      <c r="N67" s="76">
        <v>43</v>
      </c>
      <c r="O67" s="76">
        <v>43</v>
      </c>
      <c r="P67" s="76">
        <v>43</v>
      </c>
      <c r="Q67" s="76">
        <v>43</v>
      </c>
      <c r="R67" s="76">
        <v>43</v>
      </c>
      <c r="S67" s="76">
        <v>40</v>
      </c>
      <c r="T67" s="76">
        <v>40</v>
      </c>
    </row>
    <row r="68" spans="1:20" s="53" customFormat="1" ht="15.75" customHeight="1" x14ac:dyDescent="0.25">
      <c r="A68" s="77">
        <v>1984</v>
      </c>
      <c r="B68" s="77">
        <v>12</v>
      </c>
      <c r="C68" s="72">
        <f t="shared" ref="C68:C93" si="4">D68/B68</f>
        <v>43</v>
      </c>
      <c r="D68" s="72">
        <f t="shared" ref="D68:D93" si="5">SUM(I68:T68)</f>
        <v>516</v>
      </c>
      <c r="E68" s="76">
        <v>2216.1</v>
      </c>
      <c r="F68" s="73">
        <f t="shared" ref="F68:F93" si="6">E68/C68</f>
        <v>51.537209302325579</v>
      </c>
      <c r="G68" s="74">
        <f t="shared" ref="G68:G93" si="7">C68/E68</f>
        <v>1.9403456522720096E-2</v>
      </c>
      <c r="H68" s="75"/>
      <c r="I68" s="78">
        <v>40</v>
      </c>
      <c r="J68" s="78">
        <v>40</v>
      </c>
      <c r="K68" s="78">
        <v>43</v>
      </c>
      <c r="L68" s="78">
        <v>43</v>
      </c>
      <c r="M68" s="78">
        <v>43</v>
      </c>
      <c r="N68" s="78">
        <v>43</v>
      </c>
      <c r="O68" s="78">
        <v>43</v>
      </c>
      <c r="P68" s="78">
        <v>43</v>
      </c>
      <c r="Q68" s="78">
        <v>43</v>
      </c>
      <c r="R68" s="78">
        <v>43</v>
      </c>
      <c r="S68" s="78">
        <v>46</v>
      </c>
      <c r="T68" s="78">
        <v>46</v>
      </c>
    </row>
    <row r="69" spans="1:20" s="53" customFormat="1" ht="15.75" customHeight="1" x14ac:dyDescent="0.25">
      <c r="A69" s="71">
        <v>1985</v>
      </c>
      <c r="B69" s="71">
        <v>12</v>
      </c>
      <c r="C69" s="72">
        <f t="shared" si="4"/>
        <v>48.666666666666664</v>
      </c>
      <c r="D69" s="72">
        <f t="shared" si="5"/>
        <v>584</v>
      </c>
      <c r="E69" s="76">
        <v>2216.1</v>
      </c>
      <c r="F69" s="73">
        <f t="shared" si="6"/>
        <v>45.536301369863011</v>
      </c>
      <c r="G69" s="74">
        <f t="shared" si="7"/>
        <v>2.1960501180752975E-2</v>
      </c>
      <c r="H69" s="79"/>
      <c r="I69" s="76">
        <v>46</v>
      </c>
      <c r="J69" s="76">
        <v>46</v>
      </c>
      <c r="K69" s="76">
        <v>49</v>
      </c>
      <c r="L69" s="76">
        <v>49</v>
      </c>
      <c r="M69" s="76">
        <v>49</v>
      </c>
      <c r="N69" s="76">
        <v>49</v>
      </c>
      <c r="O69" s="76">
        <v>49</v>
      </c>
      <c r="P69" s="76">
        <v>49</v>
      </c>
      <c r="Q69" s="76">
        <v>49</v>
      </c>
      <c r="R69" s="76">
        <v>49</v>
      </c>
      <c r="S69" s="76">
        <v>50</v>
      </c>
      <c r="T69" s="76">
        <v>50</v>
      </c>
    </row>
    <row r="70" spans="1:20" s="53" customFormat="1" ht="15.75" customHeight="1" x14ac:dyDescent="0.25">
      <c r="A70" s="71">
        <v>1986</v>
      </c>
      <c r="B70" s="71">
        <v>12</v>
      </c>
      <c r="C70" s="72">
        <f t="shared" si="4"/>
        <v>52</v>
      </c>
      <c r="D70" s="72">
        <f t="shared" si="5"/>
        <v>624</v>
      </c>
      <c r="E70" s="76">
        <v>2216.1</v>
      </c>
      <c r="F70" s="73">
        <f t="shared" si="6"/>
        <v>42.617307692307691</v>
      </c>
      <c r="G70" s="74">
        <f t="shared" si="7"/>
        <v>2.3464645097242904E-2</v>
      </c>
      <c r="H70" s="79"/>
      <c r="I70" s="76">
        <v>50</v>
      </c>
      <c r="J70" s="76">
        <v>50</v>
      </c>
      <c r="K70" s="76">
        <v>53</v>
      </c>
      <c r="L70" s="76">
        <v>53</v>
      </c>
      <c r="M70" s="76">
        <v>53</v>
      </c>
      <c r="N70" s="76">
        <v>53</v>
      </c>
      <c r="O70" s="76">
        <v>53</v>
      </c>
      <c r="P70" s="76">
        <v>53</v>
      </c>
      <c r="Q70" s="76">
        <v>53</v>
      </c>
      <c r="R70" s="76">
        <v>53</v>
      </c>
      <c r="S70" s="76">
        <v>50</v>
      </c>
      <c r="T70" s="76">
        <v>50</v>
      </c>
    </row>
    <row r="71" spans="1:20" s="53" customFormat="1" ht="15.75" customHeight="1" x14ac:dyDescent="0.25">
      <c r="A71" s="71">
        <v>1987</v>
      </c>
      <c r="B71" s="71">
        <v>12</v>
      </c>
      <c r="C71" s="72">
        <f t="shared" si="4"/>
        <v>52.083333333333336</v>
      </c>
      <c r="D71" s="72">
        <f t="shared" si="5"/>
        <v>625</v>
      </c>
      <c r="E71" s="76">
        <v>2216.1</v>
      </c>
      <c r="F71" s="73">
        <f t="shared" si="6"/>
        <v>42.549119999999995</v>
      </c>
      <c r="G71" s="74">
        <f t="shared" si="7"/>
        <v>2.3502248695155156E-2</v>
      </c>
      <c r="H71" s="79"/>
      <c r="I71" s="76">
        <v>50</v>
      </c>
      <c r="J71" s="76">
        <v>50</v>
      </c>
      <c r="K71" s="76">
        <v>54.5</v>
      </c>
      <c r="L71" s="76">
        <v>54.5</v>
      </c>
      <c r="M71" s="76">
        <v>54.5</v>
      </c>
      <c r="N71" s="76">
        <v>54.5</v>
      </c>
      <c r="O71" s="76">
        <v>54.5</v>
      </c>
      <c r="P71" s="76">
        <v>54.5</v>
      </c>
      <c r="Q71" s="76">
        <v>54.5</v>
      </c>
      <c r="R71" s="76">
        <v>54.5</v>
      </c>
      <c r="S71" s="76">
        <v>44.5</v>
      </c>
      <c r="T71" s="76">
        <v>44.5</v>
      </c>
    </row>
    <row r="72" spans="1:20" s="53" customFormat="1" ht="15.75" customHeight="1" x14ac:dyDescent="0.25">
      <c r="A72" s="71">
        <v>1988</v>
      </c>
      <c r="B72" s="71">
        <v>12</v>
      </c>
      <c r="C72" s="72">
        <f t="shared" si="4"/>
        <v>43.75</v>
      </c>
      <c r="D72" s="72">
        <f t="shared" si="5"/>
        <v>525</v>
      </c>
      <c r="E72" s="76">
        <v>2216.1</v>
      </c>
      <c r="F72" s="73">
        <f t="shared" si="6"/>
        <v>50.653714285714287</v>
      </c>
      <c r="G72" s="74">
        <f t="shared" si="7"/>
        <v>1.9741888903930329E-2</v>
      </c>
      <c r="H72" s="79"/>
      <c r="I72" s="76">
        <v>44.5</v>
      </c>
      <c r="J72" s="76">
        <v>44.5</v>
      </c>
      <c r="K72" s="76">
        <v>44.5</v>
      </c>
      <c r="L72" s="76">
        <v>44.5</v>
      </c>
      <c r="M72" s="76">
        <v>44.5</v>
      </c>
      <c r="N72" s="76">
        <v>44.5</v>
      </c>
      <c r="O72" s="76">
        <v>44.5</v>
      </c>
      <c r="P72" s="76">
        <v>44.5</v>
      </c>
      <c r="Q72" s="76">
        <v>44.5</v>
      </c>
      <c r="R72" s="76">
        <v>44.5</v>
      </c>
      <c r="S72" s="76">
        <v>40</v>
      </c>
      <c r="T72" s="76">
        <v>40</v>
      </c>
    </row>
    <row r="73" spans="1:20" s="53" customFormat="1" ht="15.75" customHeight="1" x14ac:dyDescent="0.25">
      <c r="A73" s="71">
        <v>1989</v>
      </c>
      <c r="B73" s="71">
        <v>12</v>
      </c>
      <c r="C73" s="72">
        <f t="shared" si="4"/>
        <v>42.166666666666664</v>
      </c>
      <c r="D73" s="72">
        <f t="shared" si="5"/>
        <v>506</v>
      </c>
      <c r="E73" s="76">
        <v>2216.1</v>
      </c>
      <c r="F73" s="73">
        <f t="shared" si="6"/>
        <v>52.555731225296441</v>
      </c>
      <c r="G73" s="74">
        <f t="shared" si="7"/>
        <v>1.9027420543597611E-2</v>
      </c>
      <c r="H73" s="79"/>
      <c r="I73" s="76">
        <v>40</v>
      </c>
      <c r="J73" s="76">
        <v>40</v>
      </c>
      <c r="K73" s="76">
        <v>44.5</v>
      </c>
      <c r="L73" s="76">
        <v>44.5</v>
      </c>
      <c r="M73" s="76">
        <v>44.5</v>
      </c>
      <c r="N73" s="76">
        <v>44.5</v>
      </c>
      <c r="O73" s="76">
        <v>44.5</v>
      </c>
      <c r="P73" s="76">
        <v>44.5</v>
      </c>
      <c r="Q73" s="76">
        <v>44.5</v>
      </c>
      <c r="R73" s="76">
        <v>44.5</v>
      </c>
      <c r="S73" s="76">
        <v>35</v>
      </c>
      <c r="T73" s="76">
        <v>35</v>
      </c>
    </row>
    <row r="74" spans="1:20" s="53" customFormat="1" ht="15.75" customHeight="1" x14ac:dyDescent="0.25">
      <c r="A74" s="80">
        <v>1990</v>
      </c>
      <c r="B74" s="80">
        <v>12</v>
      </c>
      <c r="C74" s="72">
        <f t="shared" si="4"/>
        <v>45.5</v>
      </c>
      <c r="D74" s="72">
        <f t="shared" si="5"/>
        <v>546</v>
      </c>
      <c r="E74" s="76">
        <v>2216.1</v>
      </c>
      <c r="F74" s="73">
        <f t="shared" si="6"/>
        <v>48.705494505494507</v>
      </c>
      <c r="G74" s="74">
        <f t="shared" si="7"/>
        <v>2.0531564460087543E-2</v>
      </c>
      <c r="H74" s="79"/>
      <c r="I74" s="81">
        <v>35</v>
      </c>
      <c r="J74" s="81">
        <v>35</v>
      </c>
      <c r="K74" s="81">
        <v>39.5</v>
      </c>
      <c r="L74" s="81">
        <v>39.5</v>
      </c>
      <c r="M74" s="81">
        <v>39.5</v>
      </c>
      <c r="N74" s="81">
        <v>39.5</v>
      </c>
      <c r="O74" s="81">
        <v>39.5</v>
      </c>
      <c r="P74" s="81">
        <v>39.5</v>
      </c>
      <c r="Q74" s="81">
        <v>39.5</v>
      </c>
      <c r="R74" s="81">
        <v>39.5</v>
      </c>
      <c r="S74" s="81">
        <v>80</v>
      </c>
      <c r="T74" s="81">
        <v>80</v>
      </c>
    </row>
    <row r="75" spans="1:20" s="53" customFormat="1" ht="15.75" customHeight="1" x14ac:dyDescent="0.25">
      <c r="A75" s="71">
        <v>1991</v>
      </c>
      <c r="B75" s="71">
        <v>12</v>
      </c>
      <c r="C75" s="72">
        <f t="shared" si="4"/>
        <v>13.333333333333334</v>
      </c>
      <c r="D75" s="72">
        <f t="shared" si="5"/>
        <v>160</v>
      </c>
      <c r="E75" s="76">
        <v>2216.1</v>
      </c>
      <c r="F75" s="73">
        <f t="shared" si="6"/>
        <v>166.20749999999998</v>
      </c>
      <c r="G75" s="74">
        <f t="shared" si="7"/>
        <v>6.0165756659597194E-3</v>
      </c>
      <c r="H75" s="75"/>
      <c r="I75" s="76">
        <v>80</v>
      </c>
      <c r="J75" s="76">
        <v>80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</row>
    <row r="76" spans="1:20" s="53" customFormat="1" ht="15.75" customHeight="1" x14ac:dyDescent="0.25">
      <c r="A76" s="71">
        <v>1992</v>
      </c>
      <c r="B76" s="71">
        <v>12</v>
      </c>
      <c r="C76" s="72">
        <f t="shared" si="4"/>
        <v>74.833333333333329</v>
      </c>
      <c r="D76" s="72">
        <f t="shared" si="5"/>
        <v>898</v>
      </c>
      <c r="E76" s="76">
        <v>2216.1</v>
      </c>
      <c r="F76" s="73">
        <f t="shared" si="6"/>
        <v>29.613808463251672</v>
      </c>
      <c r="G76" s="74">
        <f t="shared" si="7"/>
        <v>3.3768030925198922E-2</v>
      </c>
      <c r="H76" s="75"/>
      <c r="I76" s="76">
        <v>0</v>
      </c>
      <c r="J76" s="76">
        <v>0</v>
      </c>
      <c r="K76" s="76">
        <v>91</v>
      </c>
      <c r="L76" s="76">
        <v>91</v>
      </c>
      <c r="M76" s="76">
        <v>91</v>
      </c>
      <c r="N76" s="76">
        <v>91</v>
      </c>
      <c r="O76" s="76">
        <v>91</v>
      </c>
      <c r="P76" s="76">
        <v>91</v>
      </c>
      <c r="Q76" s="76">
        <v>91</v>
      </c>
      <c r="R76" s="76">
        <v>91</v>
      </c>
      <c r="S76" s="76">
        <v>85</v>
      </c>
      <c r="T76" s="76">
        <v>85</v>
      </c>
    </row>
    <row r="77" spans="1:20" s="53" customFormat="1" ht="15.75" customHeight="1" x14ac:dyDescent="0.25">
      <c r="A77" s="71">
        <v>1993</v>
      </c>
      <c r="B77" s="71">
        <v>12</v>
      </c>
      <c r="C77" s="72">
        <f t="shared" si="4"/>
        <v>28.333333333333332</v>
      </c>
      <c r="D77" s="72">
        <f t="shared" si="5"/>
        <v>340</v>
      </c>
      <c r="E77" s="76">
        <v>2216.1</v>
      </c>
      <c r="F77" s="73">
        <f t="shared" si="6"/>
        <v>78.215294117647062</v>
      </c>
      <c r="G77" s="74">
        <f t="shared" si="7"/>
        <v>1.2785223290164403E-2</v>
      </c>
      <c r="H77" s="75"/>
      <c r="I77" s="76">
        <v>85</v>
      </c>
      <c r="J77" s="76">
        <v>85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85</v>
      </c>
      <c r="T77" s="76">
        <v>85</v>
      </c>
    </row>
    <row r="78" spans="1:20" s="53" customFormat="1" ht="15.75" customHeight="1" x14ac:dyDescent="0.25">
      <c r="A78" s="71">
        <v>1994</v>
      </c>
      <c r="B78" s="71">
        <v>12</v>
      </c>
      <c r="C78" s="72">
        <f t="shared" si="4"/>
        <v>14.166666666666666</v>
      </c>
      <c r="D78" s="72">
        <f t="shared" si="5"/>
        <v>170</v>
      </c>
      <c r="E78" s="76">
        <v>2216.1</v>
      </c>
      <c r="F78" s="73">
        <f t="shared" si="6"/>
        <v>156.43058823529412</v>
      </c>
      <c r="G78" s="74">
        <f t="shared" si="7"/>
        <v>6.3926116450822015E-3</v>
      </c>
      <c r="H78" s="75"/>
      <c r="I78" s="76">
        <v>85</v>
      </c>
      <c r="J78" s="76">
        <v>85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</row>
    <row r="79" spans="1:20" s="53" customFormat="1" ht="15.75" customHeight="1" x14ac:dyDescent="0.25">
      <c r="A79" s="71">
        <v>1995</v>
      </c>
      <c r="B79" s="71">
        <v>12</v>
      </c>
      <c r="C79" s="72">
        <f t="shared" si="4"/>
        <v>62.666666666666664</v>
      </c>
      <c r="D79" s="72">
        <f t="shared" si="5"/>
        <v>752</v>
      </c>
      <c r="E79" s="76">
        <v>2216.1</v>
      </c>
      <c r="F79" s="73">
        <f t="shared" si="6"/>
        <v>35.363297872340425</v>
      </c>
      <c r="G79" s="74">
        <f t="shared" si="7"/>
        <v>2.8277905630010678E-2</v>
      </c>
      <c r="H79" s="75"/>
      <c r="I79" s="76">
        <v>0</v>
      </c>
      <c r="J79" s="76">
        <v>0</v>
      </c>
      <c r="K79" s="76">
        <v>94</v>
      </c>
      <c r="L79" s="76">
        <v>94</v>
      </c>
      <c r="M79" s="76">
        <v>94</v>
      </c>
      <c r="N79" s="76">
        <v>94</v>
      </c>
      <c r="O79" s="76">
        <v>94</v>
      </c>
      <c r="P79" s="76">
        <v>94</v>
      </c>
      <c r="Q79" s="76">
        <v>94</v>
      </c>
      <c r="R79" s="76">
        <v>94</v>
      </c>
      <c r="S79" s="76">
        <v>0</v>
      </c>
      <c r="T79" s="76">
        <v>0</v>
      </c>
    </row>
    <row r="80" spans="1:20" s="53" customFormat="1" ht="15.75" customHeight="1" x14ac:dyDescent="0.25">
      <c r="A80" s="71">
        <v>1996</v>
      </c>
      <c r="B80" s="71">
        <v>12</v>
      </c>
      <c r="C80" s="72">
        <f t="shared" si="4"/>
        <v>15.666666666666666</v>
      </c>
      <c r="D80" s="72">
        <f t="shared" si="5"/>
        <v>188</v>
      </c>
      <c r="E80" s="76">
        <v>2216.1</v>
      </c>
      <c r="F80" s="73">
        <f t="shared" si="6"/>
        <v>141.4531914893617</v>
      </c>
      <c r="G80" s="74">
        <f t="shared" si="7"/>
        <v>7.0694764075026695E-3</v>
      </c>
      <c r="H80" s="75"/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94</v>
      </c>
      <c r="T80" s="76">
        <v>94</v>
      </c>
    </row>
    <row r="81" spans="1:20" s="53" customFormat="1" ht="15.75" customHeight="1" x14ac:dyDescent="0.25">
      <c r="A81" s="71">
        <v>1997</v>
      </c>
      <c r="B81" s="71">
        <v>12</v>
      </c>
      <c r="C81" s="72">
        <f t="shared" si="4"/>
        <v>15.666666666666666</v>
      </c>
      <c r="D81" s="72">
        <f t="shared" si="5"/>
        <v>188</v>
      </c>
      <c r="E81" s="76">
        <v>2216.1</v>
      </c>
      <c r="F81" s="73">
        <f t="shared" si="6"/>
        <v>141.4531914893617</v>
      </c>
      <c r="G81" s="74">
        <f t="shared" si="7"/>
        <v>7.0694764075026695E-3</v>
      </c>
      <c r="H81" s="75"/>
      <c r="I81" s="76">
        <v>94</v>
      </c>
      <c r="J81" s="76">
        <v>94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</row>
    <row r="82" spans="1:20" s="53" customFormat="1" ht="15.75" customHeight="1" x14ac:dyDescent="0.25">
      <c r="A82" s="71">
        <v>1998</v>
      </c>
      <c r="B82" s="71">
        <v>12</v>
      </c>
      <c r="C82" s="72">
        <f t="shared" si="4"/>
        <v>62.666666666666664</v>
      </c>
      <c r="D82" s="72">
        <f t="shared" si="5"/>
        <v>752</v>
      </c>
      <c r="E82" s="76">
        <v>2216.1</v>
      </c>
      <c r="F82" s="73">
        <f t="shared" si="6"/>
        <v>35.363297872340425</v>
      </c>
      <c r="G82" s="74">
        <f t="shared" si="7"/>
        <v>2.8277905630010678E-2</v>
      </c>
      <c r="H82" s="75"/>
      <c r="I82" s="76">
        <v>0</v>
      </c>
      <c r="J82" s="76">
        <v>0</v>
      </c>
      <c r="K82" s="76">
        <v>94</v>
      </c>
      <c r="L82" s="76">
        <v>94</v>
      </c>
      <c r="M82" s="76">
        <v>94</v>
      </c>
      <c r="N82" s="76">
        <v>94</v>
      </c>
      <c r="O82" s="76">
        <v>94</v>
      </c>
      <c r="P82" s="76">
        <v>94</v>
      </c>
      <c r="Q82" s="76">
        <v>94</v>
      </c>
      <c r="R82" s="76">
        <v>94</v>
      </c>
      <c r="S82" s="76">
        <v>0</v>
      </c>
      <c r="T82" s="76">
        <v>0</v>
      </c>
    </row>
    <row r="83" spans="1:20" s="53" customFormat="1" ht="15.75" customHeight="1" x14ac:dyDescent="0.25">
      <c r="A83" s="71">
        <v>1999</v>
      </c>
      <c r="B83" s="71">
        <v>12</v>
      </c>
      <c r="C83" s="72">
        <f t="shared" si="4"/>
        <v>14.166666666666666</v>
      </c>
      <c r="D83" s="72">
        <f t="shared" si="5"/>
        <v>170</v>
      </c>
      <c r="E83" s="76">
        <v>2216.1</v>
      </c>
      <c r="F83" s="73">
        <f t="shared" si="6"/>
        <v>156.43058823529412</v>
      </c>
      <c r="G83" s="74">
        <f t="shared" si="7"/>
        <v>6.3926116450822015E-3</v>
      </c>
      <c r="H83" s="75"/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85</v>
      </c>
      <c r="T83" s="76">
        <v>85</v>
      </c>
    </row>
    <row r="84" spans="1:20" s="53" customFormat="1" ht="15.75" customHeight="1" x14ac:dyDescent="0.25">
      <c r="A84" s="71">
        <v>2000</v>
      </c>
      <c r="B84" s="71">
        <v>12</v>
      </c>
      <c r="C84" s="72">
        <f t="shared" si="4"/>
        <v>14.166666666666666</v>
      </c>
      <c r="D84" s="72">
        <f t="shared" si="5"/>
        <v>170</v>
      </c>
      <c r="E84" s="76">
        <v>2216.1</v>
      </c>
      <c r="F84" s="73">
        <f t="shared" si="6"/>
        <v>156.43058823529412</v>
      </c>
      <c r="G84" s="74">
        <f t="shared" si="7"/>
        <v>6.3926116450822015E-3</v>
      </c>
      <c r="H84" s="75"/>
      <c r="I84" s="76">
        <v>85</v>
      </c>
      <c r="J84" s="76">
        <v>85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</row>
    <row r="85" spans="1:20" s="53" customFormat="1" ht="15.75" customHeight="1" x14ac:dyDescent="0.25">
      <c r="A85" s="71">
        <v>2001</v>
      </c>
      <c r="B85" s="71">
        <v>12</v>
      </c>
      <c r="C85" s="72">
        <f t="shared" si="4"/>
        <v>61.666666666666664</v>
      </c>
      <c r="D85" s="72">
        <f t="shared" si="5"/>
        <v>740</v>
      </c>
      <c r="E85" s="76">
        <v>2216.1</v>
      </c>
      <c r="F85" s="73">
        <f t="shared" si="6"/>
        <v>35.936756756756758</v>
      </c>
      <c r="G85" s="74">
        <f t="shared" si="7"/>
        <v>2.7826662455063701E-2</v>
      </c>
      <c r="H85" s="75"/>
      <c r="I85" s="76">
        <v>0</v>
      </c>
      <c r="J85" s="76">
        <v>0</v>
      </c>
      <c r="K85" s="76">
        <v>92.5</v>
      </c>
      <c r="L85" s="76">
        <v>92.5</v>
      </c>
      <c r="M85" s="76">
        <v>92.5</v>
      </c>
      <c r="N85" s="76">
        <v>92.5</v>
      </c>
      <c r="O85" s="76">
        <v>92.5</v>
      </c>
      <c r="P85" s="76">
        <v>92.5</v>
      </c>
      <c r="Q85" s="76">
        <v>92.5</v>
      </c>
      <c r="R85" s="76">
        <v>92.5</v>
      </c>
      <c r="S85" s="76">
        <v>0</v>
      </c>
      <c r="T85" s="76">
        <v>0</v>
      </c>
    </row>
    <row r="86" spans="1:20" s="53" customFormat="1" ht="15.75" customHeight="1" x14ac:dyDescent="0.25">
      <c r="A86" s="71">
        <v>2002</v>
      </c>
      <c r="B86" s="71">
        <v>12</v>
      </c>
      <c r="C86" s="72">
        <f t="shared" si="4"/>
        <v>14.166666666666666</v>
      </c>
      <c r="D86" s="72">
        <f t="shared" si="5"/>
        <v>170</v>
      </c>
      <c r="E86" s="76">
        <v>2216.1</v>
      </c>
      <c r="F86" s="73">
        <f t="shared" si="6"/>
        <v>156.43058823529412</v>
      </c>
      <c r="G86" s="74">
        <f t="shared" si="7"/>
        <v>6.3926116450822015E-3</v>
      </c>
      <c r="H86" s="75"/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85</v>
      </c>
      <c r="T86" s="76">
        <v>85</v>
      </c>
    </row>
    <row r="87" spans="1:20" s="53" customFormat="1" ht="15.75" customHeight="1" x14ac:dyDescent="0.25">
      <c r="A87" s="71">
        <v>2003</v>
      </c>
      <c r="B87" s="71">
        <v>12</v>
      </c>
      <c r="C87" s="72">
        <f t="shared" si="4"/>
        <v>14.166666666666666</v>
      </c>
      <c r="D87" s="72">
        <f t="shared" si="5"/>
        <v>170</v>
      </c>
      <c r="E87" s="76">
        <v>2216.1</v>
      </c>
      <c r="F87" s="73">
        <f t="shared" si="6"/>
        <v>156.43058823529412</v>
      </c>
      <c r="G87" s="74">
        <f t="shared" si="7"/>
        <v>6.3926116450822015E-3</v>
      </c>
      <c r="H87" s="75"/>
      <c r="I87" s="76">
        <v>85</v>
      </c>
      <c r="J87" s="76">
        <v>85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</row>
    <row r="88" spans="1:20" s="53" customFormat="1" ht="15.75" customHeight="1" x14ac:dyDescent="0.25">
      <c r="A88" s="71">
        <v>2004</v>
      </c>
      <c r="B88" s="71">
        <v>12</v>
      </c>
      <c r="C88" s="72">
        <f t="shared" si="4"/>
        <v>61.666666666666664</v>
      </c>
      <c r="D88" s="72">
        <f t="shared" si="5"/>
        <v>740</v>
      </c>
      <c r="E88" s="76">
        <v>2216.1</v>
      </c>
      <c r="F88" s="73">
        <f t="shared" si="6"/>
        <v>35.936756756756758</v>
      </c>
      <c r="G88" s="74">
        <f t="shared" si="7"/>
        <v>2.7826662455063701E-2</v>
      </c>
      <c r="H88" s="75"/>
      <c r="I88" s="76">
        <v>0</v>
      </c>
      <c r="J88" s="76">
        <v>0</v>
      </c>
      <c r="K88" s="76">
        <v>92.5</v>
      </c>
      <c r="L88" s="76">
        <v>92.5</v>
      </c>
      <c r="M88" s="76">
        <v>92.5</v>
      </c>
      <c r="N88" s="76">
        <v>92.5</v>
      </c>
      <c r="O88" s="76">
        <v>92.5</v>
      </c>
      <c r="P88" s="76">
        <v>92.5</v>
      </c>
      <c r="Q88" s="76">
        <v>92.5</v>
      </c>
      <c r="R88" s="76">
        <v>92.5</v>
      </c>
      <c r="S88" s="76">
        <v>0</v>
      </c>
      <c r="T88" s="76">
        <v>0</v>
      </c>
    </row>
    <row r="89" spans="1:20" s="53" customFormat="1" ht="15.75" customHeight="1" x14ac:dyDescent="0.25">
      <c r="A89" s="71">
        <v>2005</v>
      </c>
      <c r="B89" s="71">
        <v>12</v>
      </c>
      <c r="C89" s="72">
        <f t="shared" si="4"/>
        <v>0</v>
      </c>
      <c r="D89" s="72">
        <f t="shared" si="5"/>
        <v>0</v>
      </c>
      <c r="E89" s="76">
        <v>2216.1</v>
      </c>
      <c r="F89" s="73" t="e">
        <f t="shared" si="6"/>
        <v>#DIV/0!</v>
      </c>
      <c r="G89" s="74">
        <f t="shared" si="7"/>
        <v>0</v>
      </c>
      <c r="H89" s="75"/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</row>
    <row r="90" spans="1:20" s="53" customFormat="1" ht="15.75" customHeight="1" x14ac:dyDescent="0.25">
      <c r="A90" s="71">
        <v>2006</v>
      </c>
      <c r="B90" s="71">
        <v>12</v>
      </c>
      <c r="C90" s="72">
        <f t="shared" si="4"/>
        <v>36.833333333333336</v>
      </c>
      <c r="D90" s="72">
        <f t="shared" si="5"/>
        <v>442</v>
      </c>
      <c r="E90" s="76">
        <v>2216.1</v>
      </c>
      <c r="F90" s="73">
        <f t="shared" si="6"/>
        <v>60.165610859728503</v>
      </c>
      <c r="G90" s="74">
        <f t="shared" si="7"/>
        <v>1.6620790277213724E-2</v>
      </c>
      <c r="H90" s="75"/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29.1</v>
      </c>
      <c r="T90" s="76">
        <v>412.9</v>
      </c>
    </row>
    <row r="91" spans="1:20" s="53" customFormat="1" ht="15.75" customHeight="1" x14ac:dyDescent="0.25">
      <c r="A91" s="71">
        <v>2007</v>
      </c>
      <c r="B91" s="71">
        <v>12</v>
      </c>
      <c r="C91" s="72">
        <f t="shared" si="4"/>
        <v>13.083333333333334</v>
      </c>
      <c r="D91" s="72">
        <f t="shared" si="5"/>
        <v>157</v>
      </c>
      <c r="E91" s="76">
        <v>2216.1</v>
      </c>
      <c r="F91" s="73">
        <f t="shared" si="6"/>
        <v>169.38343949044585</v>
      </c>
      <c r="G91" s="74">
        <f t="shared" si="7"/>
        <v>5.903764872222975E-3</v>
      </c>
      <c r="H91" s="75"/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157</v>
      </c>
      <c r="R91" s="76">
        <v>0</v>
      </c>
      <c r="S91" s="76">
        <v>0</v>
      </c>
      <c r="T91" s="76">
        <v>0</v>
      </c>
    </row>
    <row r="92" spans="1:20" s="53" customFormat="1" ht="15.75" customHeight="1" x14ac:dyDescent="0.25">
      <c r="A92" s="71">
        <v>2008</v>
      </c>
      <c r="B92" s="71">
        <v>12</v>
      </c>
      <c r="C92" s="72">
        <f t="shared" si="4"/>
        <v>13.466666666666667</v>
      </c>
      <c r="D92" s="72">
        <f t="shared" si="5"/>
        <v>161.6</v>
      </c>
      <c r="E92" s="76">
        <v>819.96</v>
      </c>
      <c r="F92" s="73">
        <f t="shared" si="6"/>
        <v>60.888118811881192</v>
      </c>
      <c r="G92" s="74">
        <f t="shared" si="7"/>
        <v>1.642356537717287E-2</v>
      </c>
      <c r="H92" s="75"/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0</v>
      </c>
      <c r="O92" s="76">
        <v>8.1</v>
      </c>
      <c r="P92" s="76">
        <v>153.5</v>
      </c>
      <c r="Q92" s="76">
        <v>0</v>
      </c>
      <c r="R92" s="76">
        <v>0</v>
      </c>
      <c r="S92" s="76">
        <v>0</v>
      </c>
      <c r="T92" s="76">
        <v>0</v>
      </c>
    </row>
    <row r="93" spans="1:20" s="53" customFormat="1" ht="15.75" customHeight="1" x14ac:dyDescent="0.25">
      <c r="A93" s="71">
        <v>2009</v>
      </c>
      <c r="B93" s="71">
        <v>12</v>
      </c>
      <c r="C93" s="72">
        <f t="shared" si="4"/>
        <v>23.766666666666666</v>
      </c>
      <c r="D93" s="72">
        <f t="shared" si="5"/>
        <v>285.2</v>
      </c>
      <c r="E93" s="76">
        <v>819.96</v>
      </c>
      <c r="F93" s="73">
        <f t="shared" si="6"/>
        <v>34.500420757363258</v>
      </c>
      <c r="G93" s="74">
        <f t="shared" si="7"/>
        <v>2.8985153747337265E-2</v>
      </c>
      <c r="H93" s="75"/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0</v>
      </c>
      <c r="O93" s="76">
        <v>285.2</v>
      </c>
      <c r="P93" s="76">
        <v>0</v>
      </c>
      <c r="Q93" s="76">
        <v>0</v>
      </c>
      <c r="R93" s="76">
        <v>0</v>
      </c>
      <c r="S93" s="76">
        <v>0</v>
      </c>
      <c r="T93" s="76">
        <v>0</v>
      </c>
    </row>
    <row r="94" spans="1:20" s="53" customFormat="1" ht="15.75" customHeight="1" x14ac:dyDescent="0.25">
      <c r="A94" s="71">
        <v>2010</v>
      </c>
      <c r="B94" s="71">
        <v>12</v>
      </c>
      <c r="C94" s="72">
        <f t="shared" ref="C94:C104" si="8">D94/B94</f>
        <v>14.783333333333333</v>
      </c>
      <c r="D94" s="72">
        <f t="shared" ref="D94:D104" si="9">SUM(I94:T94)</f>
        <v>177.4</v>
      </c>
      <c r="E94" s="76">
        <v>819.96</v>
      </c>
      <c r="F94" s="73">
        <f t="shared" ref="F94:F104" si="10">E94/C94</f>
        <v>55.465163472378805</v>
      </c>
      <c r="G94" s="74">
        <f t="shared" ref="G94:G104" si="11">C94/E94</f>
        <v>1.8029334764297446E-2</v>
      </c>
      <c r="H94" s="75"/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176.6</v>
      </c>
      <c r="Q94" s="76">
        <v>0.8</v>
      </c>
      <c r="R94" s="76">
        <v>0</v>
      </c>
      <c r="S94" s="76">
        <v>0</v>
      </c>
      <c r="T94" s="76">
        <v>0</v>
      </c>
    </row>
    <row r="95" spans="1:20" s="53" customFormat="1" ht="15.75" customHeight="1" x14ac:dyDescent="0.25">
      <c r="A95" s="71">
        <v>2011</v>
      </c>
      <c r="B95" s="71">
        <v>12</v>
      </c>
      <c r="C95" s="72">
        <f t="shared" si="8"/>
        <v>10.233333333333333</v>
      </c>
      <c r="D95" s="72">
        <f t="shared" si="9"/>
        <v>122.8</v>
      </c>
      <c r="E95" s="76">
        <v>819.96</v>
      </c>
      <c r="F95" s="73">
        <f t="shared" si="10"/>
        <v>80.126384364820851</v>
      </c>
      <c r="G95" s="74">
        <f t="shared" si="11"/>
        <v>1.2480283591069482E-2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122.8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71">
        <v>2012</v>
      </c>
      <c r="B96" s="71">
        <v>12</v>
      </c>
      <c r="C96" s="72">
        <f t="shared" si="8"/>
        <v>18.991666666666667</v>
      </c>
      <c r="D96" s="72">
        <f t="shared" si="9"/>
        <v>227.9</v>
      </c>
      <c r="E96" s="76">
        <v>819.96</v>
      </c>
      <c r="F96" s="73">
        <f t="shared" si="10"/>
        <v>43.174725756910924</v>
      </c>
      <c r="G96" s="74">
        <f t="shared" si="11"/>
        <v>2.3161698944663967E-2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76.900000000000006</v>
      </c>
      <c r="P96" s="49">
        <v>151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71">
        <v>2013</v>
      </c>
      <c r="B97" s="71">
        <v>12</v>
      </c>
      <c r="C97" s="72">
        <f t="shared" si="8"/>
        <v>17.525000000000002</v>
      </c>
      <c r="D97" s="72">
        <f t="shared" si="9"/>
        <v>210.3</v>
      </c>
      <c r="E97" s="76">
        <v>819.96</v>
      </c>
      <c r="F97" s="73">
        <f t="shared" si="10"/>
        <v>46.78801711840228</v>
      </c>
      <c r="G97" s="74">
        <f t="shared" si="11"/>
        <v>2.1372993804575833E-2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39.200000000000003</v>
      </c>
      <c r="P97" s="49">
        <v>171.1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71">
        <v>2014</v>
      </c>
      <c r="B98" s="71">
        <v>12</v>
      </c>
      <c r="C98" s="72">
        <f t="shared" si="8"/>
        <v>11.425000000000002</v>
      </c>
      <c r="D98" s="72">
        <f t="shared" si="9"/>
        <v>137.10000000000002</v>
      </c>
      <c r="E98" s="76">
        <v>819.96</v>
      </c>
      <c r="F98" s="73">
        <f t="shared" si="10"/>
        <v>71.768927789934338</v>
      </c>
      <c r="G98" s="74">
        <f t="shared" si="11"/>
        <v>1.3933606517391095E-2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134.80000000000001</v>
      </c>
      <c r="P98" s="49">
        <v>2.2999999999999998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71">
        <v>2015</v>
      </c>
      <c r="B99" s="71">
        <v>12</v>
      </c>
      <c r="C99" s="72">
        <f t="shared" si="8"/>
        <v>12.833333333333334</v>
      </c>
      <c r="D99" s="72">
        <f t="shared" si="9"/>
        <v>154</v>
      </c>
      <c r="E99" s="76">
        <v>819.96</v>
      </c>
      <c r="F99" s="73">
        <f t="shared" si="10"/>
        <v>63.892987012987014</v>
      </c>
      <c r="G99" s="74">
        <f t="shared" si="11"/>
        <v>1.5651169975771175E-2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95.2</v>
      </c>
      <c r="P99" s="49">
        <v>58.8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71">
        <v>2016</v>
      </c>
      <c r="B100" s="71">
        <v>12</v>
      </c>
      <c r="C100" s="72">
        <f t="shared" si="8"/>
        <v>16.166666666666668</v>
      </c>
      <c r="D100" s="72">
        <f t="shared" si="9"/>
        <v>194</v>
      </c>
      <c r="E100" s="76">
        <v>819.96</v>
      </c>
      <c r="F100" s="73">
        <f t="shared" si="10"/>
        <v>50.719175257731955</v>
      </c>
      <c r="G100" s="74">
        <f t="shared" si="11"/>
        <v>1.9716408930516936E-2</v>
      </c>
      <c r="I100" s="49">
        <v>0</v>
      </c>
      <c r="J100" s="49">
        <v>157.1</v>
      </c>
      <c r="K100" s="49">
        <v>36.9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71">
        <v>2017</v>
      </c>
      <c r="B101" s="71">
        <v>12</v>
      </c>
      <c r="C101" s="72">
        <f t="shared" si="8"/>
        <v>20.445833333333336</v>
      </c>
      <c r="D101" s="72">
        <f t="shared" si="9"/>
        <v>245.35000000000002</v>
      </c>
      <c r="E101" s="76">
        <v>819.96</v>
      </c>
      <c r="F101" s="73">
        <f t="shared" si="10"/>
        <v>40.104014672916236</v>
      </c>
      <c r="G101" s="74">
        <f t="shared" si="11"/>
        <v>2.4935159438671809E-2</v>
      </c>
      <c r="I101" s="49">
        <v>0</v>
      </c>
      <c r="J101" s="49">
        <v>0</v>
      </c>
      <c r="K101" s="49">
        <v>0</v>
      </c>
      <c r="L101" s="49">
        <v>243.86</v>
      </c>
      <c r="M101" s="49">
        <v>1.49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71">
        <v>2018</v>
      </c>
      <c r="B102" s="71">
        <v>12</v>
      </c>
      <c r="C102" s="72">
        <f t="shared" si="8"/>
        <v>16.033333333333335</v>
      </c>
      <c r="D102" s="72">
        <f t="shared" si="9"/>
        <v>192.4</v>
      </c>
      <c r="E102" s="76">
        <v>819.96</v>
      </c>
      <c r="F102" s="73">
        <f t="shared" si="10"/>
        <v>51.140956340956336</v>
      </c>
      <c r="G102" s="74">
        <f t="shared" si="11"/>
        <v>1.9553799372327107E-2</v>
      </c>
      <c r="I102" s="49">
        <v>0</v>
      </c>
      <c r="J102" s="49">
        <v>0</v>
      </c>
      <c r="K102" s="49">
        <v>0</v>
      </c>
      <c r="L102" s="49">
        <v>0</v>
      </c>
      <c r="M102" s="49">
        <v>192.4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71">
        <v>2019</v>
      </c>
      <c r="B103" s="71">
        <v>12</v>
      </c>
      <c r="C103" s="72">
        <f t="shared" si="8"/>
        <v>0</v>
      </c>
      <c r="D103" s="72">
        <f t="shared" si="9"/>
        <v>0</v>
      </c>
      <c r="E103" s="76">
        <v>819.96</v>
      </c>
      <c r="F103" s="73" t="e">
        <f t="shared" si="10"/>
        <v>#DIV/0!</v>
      </c>
      <c r="G103" s="74">
        <f t="shared" si="11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71">
        <v>2020</v>
      </c>
      <c r="B104" s="71">
        <v>12</v>
      </c>
      <c r="C104" s="72">
        <f t="shared" si="8"/>
        <v>21.216666666666669</v>
      </c>
      <c r="D104" s="72">
        <f t="shared" si="9"/>
        <v>254.60000000000002</v>
      </c>
      <c r="E104" s="76">
        <v>819.96</v>
      </c>
      <c r="F104" s="73">
        <f t="shared" si="10"/>
        <v>38.646975648075411</v>
      </c>
      <c r="G104" s="74">
        <f t="shared" si="11"/>
        <v>2.5875245946956765E-2</v>
      </c>
      <c r="I104" s="49">
        <v>0</v>
      </c>
      <c r="J104" s="49">
        <v>0</v>
      </c>
      <c r="K104" s="49">
        <v>0</v>
      </c>
      <c r="L104" s="49">
        <v>0</v>
      </c>
      <c r="M104" s="49">
        <v>187.9</v>
      </c>
      <c r="N104" s="49">
        <v>66.7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71">
        <v>2021</v>
      </c>
      <c r="B105" s="71">
        <v>12</v>
      </c>
      <c r="C105" s="72">
        <f t="shared" ref="C105" si="12">D105/B105</f>
        <v>0</v>
      </c>
      <c r="D105" s="72">
        <f t="shared" ref="D105" si="13">SUM(I105:T105)</f>
        <v>0</v>
      </c>
      <c r="E105" s="76">
        <v>819.96</v>
      </c>
      <c r="F105" s="73" t="e">
        <f t="shared" ref="F105" si="14">E105/C105</f>
        <v>#DIV/0!</v>
      </c>
      <c r="G105" s="74">
        <f t="shared" ref="G105" si="15">C105/E105</f>
        <v>0</v>
      </c>
      <c r="I105" s="54">
        <v>0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</row>
    <row r="106" spans="1:20" ht="15.75" customHeight="1" x14ac:dyDescent="0.25">
      <c r="A106" s="71">
        <v>2022</v>
      </c>
      <c r="B106" s="71">
        <v>12</v>
      </c>
      <c r="C106" s="72">
        <f t="shared" ref="C106" si="16">D106/B106</f>
        <v>20.008333333333333</v>
      </c>
      <c r="D106" s="72">
        <f t="shared" ref="D106" si="17">SUM(I106:T106)</f>
        <v>240.1</v>
      </c>
      <c r="E106" s="76">
        <v>819.96</v>
      </c>
      <c r="F106" s="73">
        <f t="shared" ref="F106" si="18">E106/C106</f>
        <v>40.980924614743863</v>
      </c>
      <c r="G106" s="74">
        <f t="shared" ref="G106" si="19">C106/E106</f>
        <v>2.4401596825861422E-2</v>
      </c>
      <c r="I106" s="54">
        <v>240.1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</row>
    <row r="107" spans="1:20" ht="15.75" customHeight="1" x14ac:dyDescent="0.25">
      <c r="A107" s="71">
        <v>2023</v>
      </c>
      <c r="B107" s="71">
        <v>12</v>
      </c>
      <c r="C107" s="72">
        <f t="shared" ref="C107" si="20">D107/B107</f>
        <v>18.466666666666669</v>
      </c>
      <c r="D107" s="72">
        <f t="shared" ref="D107" si="21">SUM(I107:T107)</f>
        <v>221.60000000000002</v>
      </c>
      <c r="E107" s="76">
        <v>819.96</v>
      </c>
      <c r="F107" s="73">
        <f t="shared" ref="F107" si="22">E107/C107</f>
        <v>44.402166064981948</v>
      </c>
      <c r="G107" s="74">
        <f t="shared" ref="G107" si="23">C107/E107</f>
        <v>2.2521423809291511E-2</v>
      </c>
      <c r="I107" s="54">
        <v>0</v>
      </c>
      <c r="J107" s="54">
        <v>0</v>
      </c>
      <c r="K107" s="54">
        <v>0</v>
      </c>
      <c r="L107" s="54">
        <v>146.80000000000001</v>
      </c>
      <c r="M107" s="54">
        <v>74.8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25">
      <c r="A108" s="71">
        <v>2024</v>
      </c>
      <c r="B108" s="71">
        <v>12</v>
      </c>
      <c r="C108" s="72">
        <f t="shared" ref="C108" si="24">D108/B108</f>
        <v>32.591397849462368</v>
      </c>
      <c r="D108" s="72">
        <f t="shared" ref="D108" si="25">SUM(I108:T108)</f>
        <v>391.09677419354841</v>
      </c>
      <c r="E108" s="76">
        <v>819.96</v>
      </c>
      <c r="F108" s="73">
        <f t="shared" ref="F108" si="26">E108/C108</f>
        <v>25.158785879247773</v>
      </c>
      <c r="G108" s="74">
        <f t="shared" ref="G108" si="27">C108/E108</f>
        <v>3.9747546038175478E-2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17">
        <v>0</v>
      </c>
      <c r="O108" s="17">
        <v>321.25806451612902</v>
      </c>
      <c r="P108" s="17">
        <v>69.838709677419359</v>
      </c>
      <c r="Q108" s="17">
        <v>0</v>
      </c>
      <c r="R108" s="17">
        <v>0</v>
      </c>
      <c r="S108" s="17">
        <v>0</v>
      </c>
      <c r="T108" s="17">
        <v>0</v>
      </c>
    </row>
    <row r="109" spans="1:20" ht="15.75" customHeight="1" x14ac:dyDescent="0.25">
      <c r="A109" s="16">
        <v>2025</v>
      </c>
      <c r="B109" s="9">
        <v>12</v>
      </c>
      <c r="C109" s="72">
        <f t="shared" ref="C109" si="28">D109/B109</f>
        <v>0</v>
      </c>
      <c r="D109" s="72">
        <f t="shared" ref="D109" si="29">SUM(I109:T109)</f>
        <v>0</v>
      </c>
      <c r="E109" s="76">
        <v>819.96</v>
      </c>
      <c r="F109" s="73" t="e">
        <f t="shared" ref="F109" si="30">E109/C109</f>
        <v>#DIV/0!</v>
      </c>
      <c r="G109" s="74">
        <f t="shared" ref="G109" si="31">C109/E109</f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</sheetData>
  <mergeCells count="2">
    <mergeCell ref="I1:T1"/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09"/>
  <sheetViews>
    <sheetView zoomScale="80" zoomScaleNormal="80" workbookViewId="0">
      <pane ySplit="1455" topLeftCell="A73" activePane="bottomLeft"/>
      <selection sqref="A1:XFD1048576"/>
      <selection pane="bottomLeft" activeCell="A109" sqref="A109:XFD109"/>
    </sheetView>
  </sheetViews>
  <sheetFormatPr defaultColWidth="9.109375" defaultRowHeight="15.75" customHeight="1" x14ac:dyDescent="0.3"/>
  <cols>
    <col min="1" max="1" width="9.33203125" style="82" bestFit="1" customWidth="1"/>
    <col min="2" max="2" width="9.109375" style="82" customWidth="1"/>
    <col min="3" max="3" width="8.33203125" style="87" bestFit="1" customWidth="1"/>
    <col min="4" max="4" width="10.88671875" style="87" bestFit="1" customWidth="1"/>
    <col min="5" max="5" width="10.5546875" style="88" customWidth="1"/>
    <col min="6" max="6" width="9.109375" style="88" customWidth="1"/>
    <col min="7" max="7" width="9.109375" style="89" customWidth="1"/>
    <col min="8" max="8" width="9.109375" style="82" customWidth="1"/>
    <col min="9" max="9" width="9.33203125" style="88" bestFit="1" customWidth="1"/>
    <col min="10" max="10" width="11.33203125" style="88" customWidth="1"/>
    <col min="11" max="16" width="9.33203125" style="88" bestFit="1" customWidth="1"/>
    <col min="17" max="17" width="12.88671875" style="88" customWidth="1"/>
    <col min="18" max="18" width="9.33203125" style="88" bestFit="1" customWidth="1"/>
    <col min="19" max="19" width="12.6640625" style="88" customWidth="1"/>
    <col min="20" max="20" width="13.109375" style="88" customWidth="1"/>
    <col min="21" max="16384" width="9.109375" style="82"/>
  </cols>
  <sheetData>
    <row r="1" spans="1:20" ht="15" customHeight="1" x14ac:dyDescent="0.3">
      <c r="A1" s="132" t="s">
        <v>30</v>
      </c>
      <c r="B1" s="132"/>
      <c r="C1" s="132"/>
      <c r="D1" s="132"/>
      <c r="E1" s="132"/>
      <c r="F1" s="132"/>
      <c r="G1" s="132"/>
      <c r="H1" s="69"/>
      <c r="I1" s="131" t="s">
        <v>14</v>
      </c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s="83" customFormat="1" ht="60.6" x14ac:dyDescent="0.3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84" customFormat="1" ht="15.75" customHeight="1" x14ac:dyDescent="0.3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84" customFormat="1" ht="15.75" customHeight="1" x14ac:dyDescent="0.3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84" customFormat="1" ht="15.75" customHeight="1" x14ac:dyDescent="0.3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84" customFormat="1" ht="15.75" customHeight="1" x14ac:dyDescent="0.3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84" customFormat="1" ht="15.75" customHeight="1" x14ac:dyDescent="0.3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84" customFormat="1" ht="15.75" customHeight="1" x14ac:dyDescent="0.3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84" customFormat="1" ht="15.75" customHeight="1" x14ac:dyDescent="0.3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84" customFormat="1" ht="15.75" customHeight="1" x14ac:dyDescent="0.3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84" customFormat="1" ht="15.75" customHeight="1" x14ac:dyDescent="0.3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84" customFormat="1" ht="15.75" customHeight="1" x14ac:dyDescent="0.3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84" customFormat="1" ht="15.75" customHeight="1" x14ac:dyDescent="0.3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84" customFormat="1" ht="15.75" customHeight="1" x14ac:dyDescent="0.3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84" customFormat="1" ht="15.75" customHeight="1" x14ac:dyDescent="0.3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84" customFormat="1" ht="15.75" customHeight="1" x14ac:dyDescent="0.3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84" customFormat="1" ht="15.75" customHeight="1" x14ac:dyDescent="0.3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84" customFormat="1" ht="15.75" customHeight="1" x14ac:dyDescent="0.3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84" customFormat="1" ht="15.75" customHeight="1" x14ac:dyDescent="0.3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84" customFormat="1" ht="15.75" customHeight="1" x14ac:dyDescent="0.3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84" customFormat="1" ht="15.75" customHeight="1" x14ac:dyDescent="0.3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84" customFormat="1" ht="15.75" customHeight="1" x14ac:dyDescent="0.3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84" customFormat="1" ht="15.75" customHeight="1" x14ac:dyDescent="0.3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84" customFormat="1" ht="15.75" customHeight="1" x14ac:dyDescent="0.3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84" customFormat="1" ht="15.75" customHeight="1" x14ac:dyDescent="0.3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84" customFormat="1" ht="15.75" customHeight="1" x14ac:dyDescent="0.3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84" customFormat="1" ht="15.75" customHeight="1" x14ac:dyDescent="0.3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84" customFormat="1" ht="15.75" customHeight="1" x14ac:dyDescent="0.3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84" customFormat="1" ht="15.75" customHeight="1" x14ac:dyDescent="0.3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84" customFormat="1" ht="15.75" customHeight="1" x14ac:dyDescent="0.3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84" customFormat="1" ht="15.75" customHeight="1" x14ac:dyDescent="0.3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84" customFormat="1" ht="15.75" customHeight="1" x14ac:dyDescent="0.3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84" customFormat="1" ht="15.75" customHeight="1" x14ac:dyDescent="0.3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84" customFormat="1" ht="15.75" customHeight="1" x14ac:dyDescent="0.3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84" customFormat="1" ht="15.75" customHeight="1" x14ac:dyDescent="0.3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84" customFormat="1" ht="15.75" customHeight="1" x14ac:dyDescent="0.3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84" customFormat="1" ht="15.75" customHeight="1" x14ac:dyDescent="0.3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84" customFormat="1" ht="15.75" customHeight="1" x14ac:dyDescent="0.3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84" customFormat="1" ht="15.75" customHeight="1" x14ac:dyDescent="0.3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5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84" customFormat="1" ht="15.75" customHeight="1" x14ac:dyDescent="0.3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5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84" customFormat="1" ht="15.75" customHeight="1" x14ac:dyDescent="0.3">
      <c r="A41" s="71">
        <v>1957</v>
      </c>
      <c r="B41" s="71">
        <v>12</v>
      </c>
      <c r="C41" s="72">
        <f t="shared" si="0"/>
        <v>39.677777777777777</v>
      </c>
      <c r="D41" s="72">
        <f t="shared" si="1"/>
        <v>476.13333333333333</v>
      </c>
      <c r="E41" s="76">
        <v>2216.1</v>
      </c>
      <c r="F41" s="73">
        <f t="shared" si="2"/>
        <v>55.85242229067488</v>
      </c>
      <c r="G41" s="74">
        <f t="shared" si="3"/>
        <v>1.7904326419285133E-2</v>
      </c>
      <c r="H41" s="75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6">
        <v>0</v>
      </c>
      <c r="P41" s="76">
        <v>0</v>
      </c>
      <c r="Q41" s="76">
        <v>0</v>
      </c>
      <c r="R41" s="76">
        <v>44.3</v>
      </c>
      <c r="S41" s="76">
        <v>59.333333333333336</v>
      </c>
      <c r="T41" s="76">
        <v>65</v>
      </c>
    </row>
    <row r="42" spans="1:20" s="84" customFormat="1" ht="15.75" customHeight="1" x14ac:dyDescent="0.3">
      <c r="A42" s="71">
        <v>1958</v>
      </c>
      <c r="B42" s="71">
        <v>12</v>
      </c>
      <c r="C42" s="72">
        <f t="shared" si="0"/>
        <v>43.502777777777773</v>
      </c>
      <c r="D42" s="72">
        <f t="shared" si="1"/>
        <v>522.0333333333333</v>
      </c>
      <c r="E42" s="76">
        <v>2216.1</v>
      </c>
      <c r="F42" s="73">
        <f t="shared" si="2"/>
        <v>50.941574612093738</v>
      </c>
      <c r="G42" s="74">
        <f t="shared" si="3"/>
        <v>1.9630331563457323E-2</v>
      </c>
      <c r="H42" s="75"/>
      <c r="I42" s="76">
        <v>65</v>
      </c>
      <c r="J42" s="76">
        <v>65</v>
      </c>
      <c r="K42" s="76">
        <v>70</v>
      </c>
      <c r="L42" s="76">
        <v>70</v>
      </c>
      <c r="M42" s="76">
        <v>70</v>
      </c>
      <c r="N42" s="76">
        <v>44.333333333333336</v>
      </c>
      <c r="O42" s="76">
        <v>0</v>
      </c>
      <c r="P42" s="76">
        <v>0</v>
      </c>
      <c r="Q42" s="76">
        <v>0</v>
      </c>
      <c r="R42" s="76">
        <v>7.7</v>
      </c>
      <c r="S42" s="76">
        <v>65</v>
      </c>
      <c r="T42" s="76">
        <v>65</v>
      </c>
    </row>
    <row r="43" spans="1:20" s="84" customFormat="1" ht="15.75" customHeight="1" x14ac:dyDescent="0.3">
      <c r="A43" s="71">
        <v>1959</v>
      </c>
      <c r="B43" s="71">
        <v>12</v>
      </c>
      <c r="C43" s="72">
        <f t="shared" si="0"/>
        <v>24.981003584229388</v>
      </c>
      <c r="D43" s="72">
        <f t="shared" si="1"/>
        <v>299.77204301075267</v>
      </c>
      <c r="E43" s="76">
        <v>2216.1</v>
      </c>
      <c r="F43" s="73">
        <f t="shared" si="2"/>
        <v>88.711407951561768</v>
      </c>
      <c r="G43" s="74">
        <f t="shared" si="3"/>
        <v>1.127250737070953E-2</v>
      </c>
      <c r="H43" s="75"/>
      <c r="I43" s="76">
        <v>65</v>
      </c>
      <c r="J43" s="76">
        <v>65</v>
      </c>
      <c r="K43" s="76">
        <v>70</v>
      </c>
      <c r="L43" s="76">
        <v>68.13333333333334</v>
      </c>
      <c r="M43" s="76">
        <v>24.838709677419356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6.8</v>
      </c>
    </row>
    <row r="44" spans="1:20" s="84" customFormat="1" ht="15.75" customHeight="1" x14ac:dyDescent="0.3">
      <c r="A44" s="71">
        <v>1960</v>
      </c>
      <c r="B44" s="71">
        <v>12</v>
      </c>
      <c r="C44" s="72">
        <f t="shared" si="0"/>
        <v>52.009176863181317</v>
      </c>
      <c r="D44" s="72">
        <f t="shared" si="1"/>
        <v>624.11012235817577</v>
      </c>
      <c r="E44" s="76">
        <v>2216.1</v>
      </c>
      <c r="F44" s="73">
        <f t="shared" si="2"/>
        <v>42.609787996257182</v>
      </c>
      <c r="G44" s="74">
        <f t="shared" si="3"/>
        <v>2.3468786094120897E-2</v>
      </c>
      <c r="H44" s="75"/>
      <c r="I44" s="76">
        <v>91.903225806451616</v>
      </c>
      <c r="J44" s="76">
        <v>93.206896551724142</v>
      </c>
      <c r="K44" s="76">
        <v>96.6</v>
      </c>
      <c r="L44" s="76">
        <v>92.2</v>
      </c>
      <c r="M44" s="76">
        <v>91</v>
      </c>
      <c r="N44" s="76">
        <v>6</v>
      </c>
      <c r="O44" s="76">
        <v>0</v>
      </c>
      <c r="P44" s="76">
        <v>0</v>
      </c>
      <c r="Q44" s="76">
        <v>0</v>
      </c>
      <c r="R44" s="76">
        <v>3</v>
      </c>
      <c r="S44" s="76">
        <v>70.2</v>
      </c>
      <c r="T44" s="76">
        <v>80</v>
      </c>
    </row>
    <row r="45" spans="1:20" s="84" customFormat="1" ht="15.75" customHeight="1" x14ac:dyDescent="0.3">
      <c r="A45" s="71">
        <v>1961</v>
      </c>
      <c r="B45" s="71">
        <v>12</v>
      </c>
      <c r="C45" s="72">
        <f t="shared" si="0"/>
        <v>51.043535586277521</v>
      </c>
      <c r="D45" s="72">
        <f t="shared" si="1"/>
        <v>612.52242703533022</v>
      </c>
      <c r="E45" s="76">
        <v>2216.1</v>
      </c>
      <c r="F45" s="73">
        <f t="shared" si="2"/>
        <v>43.415879690664951</v>
      </c>
      <c r="G45" s="74">
        <f t="shared" si="3"/>
        <v>2.3033047058470972E-2</v>
      </c>
      <c r="H45" s="75"/>
      <c r="I45" s="76">
        <v>80</v>
      </c>
      <c r="J45" s="76">
        <v>80.142857142857139</v>
      </c>
      <c r="K45" s="76">
        <v>84</v>
      </c>
      <c r="L45" s="76">
        <v>76.099999999999994</v>
      </c>
      <c r="M45" s="76">
        <v>71</v>
      </c>
      <c r="N45" s="76">
        <v>33.133333333333333</v>
      </c>
      <c r="O45" s="76">
        <v>0</v>
      </c>
      <c r="P45" s="76">
        <v>0</v>
      </c>
      <c r="Q45" s="76">
        <v>0</v>
      </c>
      <c r="R45" s="76">
        <v>12.612903225806452</v>
      </c>
      <c r="S45" s="76">
        <v>85.533333333333331</v>
      </c>
      <c r="T45" s="76">
        <v>90</v>
      </c>
    </row>
    <row r="46" spans="1:20" s="84" customFormat="1" ht="15.75" customHeight="1" x14ac:dyDescent="0.3">
      <c r="A46" s="71">
        <v>1962</v>
      </c>
      <c r="B46" s="71">
        <v>12</v>
      </c>
      <c r="C46" s="72">
        <f t="shared" si="0"/>
        <v>51.288888888888891</v>
      </c>
      <c r="D46" s="72">
        <f t="shared" si="1"/>
        <v>615.4666666666667</v>
      </c>
      <c r="E46" s="76">
        <v>2216.1</v>
      </c>
      <c r="F46" s="73">
        <f t="shared" si="2"/>
        <v>43.20818890814558</v>
      </c>
      <c r="G46" s="74">
        <f t="shared" si="3"/>
        <v>2.3143761061725054E-2</v>
      </c>
      <c r="H46" s="75"/>
      <c r="I46" s="76">
        <v>90</v>
      </c>
      <c r="J46" s="76">
        <v>90</v>
      </c>
      <c r="K46" s="76">
        <v>94</v>
      </c>
      <c r="L46" s="76">
        <v>93.033333333333331</v>
      </c>
      <c r="M46" s="76">
        <v>78</v>
      </c>
      <c r="N46" s="76">
        <v>0</v>
      </c>
      <c r="O46" s="76">
        <v>0</v>
      </c>
      <c r="P46" s="76">
        <v>0</v>
      </c>
      <c r="Q46" s="76">
        <v>0</v>
      </c>
      <c r="R46" s="76">
        <v>33.1</v>
      </c>
      <c r="S46" s="76">
        <v>67.333333333333329</v>
      </c>
      <c r="T46" s="76">
        <v>70</v>
      </c>
    </row>
    <row r="47" spans="1:20" s="84" customFormat="1" ht="15.75" customHeight="1" x14ac:dyDescent="0.3">
      <c r="A47" s="71">
        <v>1963</v>
      </c>
      <c r="B47" s="71">
        <v>12</v>
      </c>
      <c r="C47" s="72">
        <f t="shared" si="0"/>
        <v>29.152777777777782</v>
      </c>
      <c r="D47" s="72">
        <f t="shared" si="1"/>
        <v>349.83333333333337</v>
      </c>
      <c r="E47" s="76">
        <v>2216.1</v>
      </c>
      <c r="F47" s="73">
        <f t="shared" si="2"/>
        <v>76.016769890424001</v>
      </c>
      <c r="G47" s="74">
        <f t="shared" si="3"/>
        <v>1.315499200296818E-2</v>
      </c>
      <c r="H47" s="75"/>
      <c r="I47" s="76">
        <v>70</v>
      </c>
      <c r="J47" s="76">
        <v>70</v>
      </c>
      <c r="K47" s="76">
        <v>74</v>
      </c>
      <c r="L47" s="76">
        <v>58.733333333333334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10.7</v>
      </c>
      <c r="T47" s="76">
        <v>66.400000000000006</v>
      </c>
    </row>
    <row r="48" spans="1:20" s="84" customFormat="1" ht="15.75" customHeight="1" x14ac:dyDescent="0.3">
      <c r="A48" s="71">
        <v>1964</v>
      </c>
      <c r="B48" s="71">
        <v>12</v>
      </c>
      <c r="C48" s="72">
        <f t="shared" si="0"/>
        <v>34.221440489432709</v>
      </c>
      <c r="D48" s="72">
        <f t="shared" si="1"/>
        <v>410.65728587319251</v>
      </c>
      <c r="E48" s="76">
        <v>2216.1</v>
      </c>
      <c r="F48" s="73">
        <f t="shared" si="2"/>
        <v>64.757648079843776</v>
      </c>
      <c r="G48" s="74">
        <f t="shared" si="3"/>
        <v>1.5442191457710712E-2</v>
      </c>
      <c r="H48" s="75"/>
      <c r="I48" s="76">
        <v>70</v>
      </c>
      <c r="J48" s="76">
        <v>78.137931034482762</v>
      </c>
      <c r="K48" s="76">
        <v>82</v>
      </c>
      <c r="L48" s="76">
        <v>82</v>
      </c>
      <c r="M48" s="76">
        <v>8.4193548387096779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9.1</v>
      </c>
      <c r="T48" s="76">
        <v>81</v>
      </c>
    </row>
    <row r="49" spans="1:20" s="84" customFormat="1" ht="15.75" customHeight="1" x14ac:dyDescent="0.3">
      <c r="A49" s="71">
        <v>1965</v>
      </c>
      <c r="B49" s="71">
        <v>12</v>
      </c>
      <c r="C49" s="72">
        <f>D49/B49</f>
        <v>42.608333333333327</v>
      </c>
      <c r="D49" s="72">
        <f>SUM(I49:T49)</f>
        <v>511.29999999999995</v>
      </c>
      <c r="E49" s="76">
        <v>2216.1</v>
      </c>
      <c r="F49" s="73">
        <f>E49/C49</f>
        <v>52.01095247408567</v>
      </c>
      <c r="G49" s="74">
        <f>C49/E49</f>
        <v>1.9226719612532524E-2</v>
      </c>
      <c r="H49" s="75"/>
      <c r="I49" s="76">
        <v>86.3</v>
      </c>
      <c r="J49" s="76">
        <v>86.4</v>
      </c>
      <c r="K49" s="76">
        <v>87.6</v>
      </c>
      <c r="L49" s="76">
        <v>89.4</v>
      </c>
      <c r="M49" s="76">
        <v>59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24.1</v>
      </c>
      <c r="T49" s="76">
        <v>78.5</v>
      </c>
    </row>
    <row r="50" spans="1:20" s="84" customFormat="1" ht="15.75" customHeight="1" x14ac:dyDescent="0.3">
      <c r="A50" s="71">
        <v>1966</v>
      </c>
      <c r="B50" s="71">
        <v>12</v>
      </c>
      <c r="C50" s="72">
        <f t="shared" si="0"/>
        <v>49.574999999999996</v>
      </c>
      <c r="D50" s="72">
        <f t="shared" si="1"/>
        <v>594.9</v>
      </c>
      <c r="E50" s="76">
        <v>2216.1</v>
      </c>
      <c r="F50" s="73">
        <f t="shared" si="2"/>
        <v>44.70196671709531</v>
      </c>
      <c r="G50" s="74">
        <f t="shared" si="3"/>
        <v>2.2370380397996478E-2</v>
      </c>
      <c r="H50" s="75"/>
      <c r="I50" s="76">
        <v>100</v>
      </c>
      <c r="J50" s="76">
        <v>100</v>
      </c>
      <c r="K50" s="76">
        <v>105</v>
      </c>
      <c r="L50" s="76">
        <v>105</v>
      </c>
      <c r="M50" s="76">
        <v>56.1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48.3</v>
      </c>
      <c r="T50" s="76">
        <v>80.5</v>
      </c>
    </row>
    <row r="51" spans="1:20" s="84" customFormat="1" ht="15.75" customHeight="1" x14ac:dyDescent="0.3">
      <c r="A51" s="71">
        <v>1967</v>
      </c>
      <c r="B51" s="71">
        <v>12</v>
      </c>
      <c r="C51" s="72">
        <f t="shared" si="0"/>
        <v>44.949999999999996</v>
      </c>
      <c r="D51" s="72">
        <f t="shared" si="1"/>
        <v>539.4</v>
      </c>
      <c r="E51" s="76">
        <v>2216.1</v>
      </c>
      <c r="F51" s="73">
        <f t="shared" si="2"/>
        <v>49.301446051167964</v>
      </c>
      <c r="G51" s="74">
        <f t="shared" si="3"/>
        <v>2.0283380713866702E-2</v>
      </c>
      <c r="H51" s="75"/>
      <c r="I51" s="76">
        <v>95</v>
      </c>
      <c r="J51" s="76">
        <v>95</v>
      </c>
      <c r="K51" s="76">
        <v>94.2</v>
      </c>
      <c r="L51" s="76">
        <v>99.3</v>
      </c>
      <c r="M51" s="76">
        <v>61.3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26</v>
      </c>
      <c r="T51" s="76">
        <v>68.599999999999994</v>
      </c>
    </row>
    <row r="52" spans="1:20" s="84" customFormat="1" ht="15.75" customHeight="1" x14ac:dyDescent="0.3">
      <c r="A52" s="71">
        <v>1968</v>
      </c>
      <c r="B52" s="71">
        <v>12</v>
      </c>
      <c r="C52" s="72">
        <f t="shared" si="0"/>
        <v>31.908333333333331</v>
      </c>
      <c r="D52" s="72">
        <f t="shared" si="1"/>
        <v>382.9</v>
      </c>
      <c r="E52" s="76">
        <v>2216.1</v>
      </c>
      <c r="F52" s="73">
        <f t="shared" si="2"/>
        <v>69.452076260120137</v>
      </c>
      <c r="G52" s="74">
        <f t="shared" si="3"/>
        <v>1.4398417640599853E-2</v>
      </c>
      <c r="H52" s="75"/>
      <c r="I52" s="76">
        <v>96</v>
      </c>
      <c r="J52" s="76">
        <v>86</v>
      </c>
      <c r="K52" s="76">
        <v>89</v>
      </c>
      <c r="L52" s="76">
        <v>88.7</v>
      </c>
      <c r="M52" s="76">
        <v>23.2</v>
      </c>
      <c r="N52" s="76">
        <v>0</v>
      </c>
      <c r="O52" s="76">
        <v>0</v>
      </c>
      <c r="P52" s="76">
        <v>0</v>
      </c>
      <c r="Q52" s="76">
        <v>0</v>
      </c>
      <c r="R52" s="76">
        <v>0</v>
      </c>
      <c r="S52" s="76">
        <v>0</v>
      </c>
      <c r="T52" s="76">
        <v>0</v>
      </c>
    </row>
    <row r="53" spans="1:20" s="84" customFormat="1" ht="15.75" customHeight="1" x14ac:dyDescent="0.3">
      <c r="A53" s="71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2216.1</v>
      </c>
      <c r="F53" s="73" t="e">
        <f t="shared" si="2"/>
        <v>#DIV/0!</v>
      </c>
      <c r="G53" s="74">
        <f t="shared" si="3"/>
        <v>0</v>
      </c>
      <c r="H53" s="75"/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</row>
    <row r="54" spans="1:20" s="84" customFormat="1" ht="15.75" customHeight="1" x14ac:dyDescent="0.3">
      <c r="A54" s="71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2216.1</v>
      </c>
      <c r="F54" s="73" t="e">
        <f t="shared" si="2"/>
        <v>#DIV/0!</v>
      </c>
      <c r="G54" s="74">
        <f t="shared" si="3"/>
        <v>0</v>
      </c>
      <c r="H54" s="75"/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</row>
    <row r="55" spans="1:20" s="84" customFormat="1" ht="15.75" customHeight="1" x14ac:dyDescent="0.3">
      <c r="A55" s="71">
        <v>1971</v>
      </c>
      <c r="B55" s="71">
        <v>12</v>
      </c>
      <c r="C55" s="72">
        <f t="shared" si="0"/>
        <v>3.9833333333333329</v>
      </c>
      <c r="D55" s="72">
        <f t="shared" si="1"/>
        <v>47.8</v>
      </c>
      <c r="E55" s="76">
        <v>2216.1</v>
      </c>
      <c r="F55" s="73">
        <f t="shared" si="2"/>
        <v>556.34309623430966</v>
      </c>
      <c r="G55" s="74">
        <f t="shared" si="3"/>
        <v>1.7974519802054659E-3</v>
      </c>
      <c r="H55" s="75"/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12.8</v>
      </c>
      <c r="T55" s="76">
        <v>35</v>
      </c>
    </row>
    <row r="56" spans="1:20" s="84" customFormat="1" ht="15.75" customHeight="1" x14ac:dyDescent="0.3">
      <c r="A56" s="71">
        <v>1972</v>
      </c>
      <c r="B56" s="71">
        <v>12</v>
      </c>
      <c r="C56" s="72">
        <f t="shared" si="0"/>
        <v>45.758333333333333</v>
      </c>
      <c r="D56" s="72">
        <f t="shared" si="1"/>
        <v>549.1</v>
      </c>
      <c r="E56" s="76">
        <v>2216.1</v>
      </c>
      <c r="F56" s="73">
        <f t="shared" si="2"/>
        <v>48.430522673465667</v>
      </c>
      <c r="G56" s="74">
        <f t="shared" si="3"/>
        <v>2.0648135613615511E-2</v>
      </c>
      <c r="H56" s="75"/>
      <c r="I56" s="76">
        <v>35</v>
      </c>
      <c r="J56" s="76">
        <v>35</v>
      </c>
      <c r="K56" s="76">
        <v>52.6</v>
      </c>
      <c r="L56" s="76">
        <v>52.7</v>
      </c>
      <c r="M56" s="76">
        <v>50.6</v>
      </c>
      <c r="N56" s="76">
        <v>52</v>
      </c>
      <c r="O56" s="76">
        <v>52</v>
      </c>
      <c r="P56" s="76">
        <v>52</v>
      </c>
      <c r="Q56" s="76">
        <v>52</v>
      </c>
      <c r="R56" s="76">
        <v>52</v>
      </c>
      <c r="S56" s="76">
        <v>16.100000000000001</v>
      </c>
      <c r="T56" s="76">
        <v>47.1</v>
      </c>
    </row>
    <row r="57" spans="1:20" s="84" customFormat="1" ht="15.75" customHeight="1" x14ac:dyDescent="0.3">
      <c r="A57" s="71">
        <v>1973</v>
      </c>
      <c r="B57" s="71">
        <v>12</v>
      </c>
      <c r="C57" s="72">
        <f t="shared" si="0"/>
        <v>38.408333333333331</v>
      </c>
      <c r="D57" s="72">
        <f t="shared" si="1"/>
        <v>460.9</v>
      </c>
      <c r="E57" s="76">
        <v>2216.1</v>
      </c>
      <c r="F57" s="73">
        <f t="shared" si="2"/>
        <v>57.698416142330224</v>
      </c>
      <c r="G57" s="74">
        <f t="shared" si="3"/>
        <v>1.7331498277755215E-2</v>
      </c>
      <c r="H57" s="75"/>
      <c r="I57" s="76">
        <v>41.6</v>
      </c>
      <c r="J57" s="76">
        <v>40</v>
      </c>
      <c r="K57" s="76">
        <v>40.799999999999997</v>
      </c>
      <c r="L57" s="76">
        <v>41</v>
      </c>
      <c r="M57" s="76">
        <v>41</v>
      </c>
      <c r="N57" s="76">
        <v>41</v>
      </c>
      <c r="O57" s="76">
        <v>41</v>
      </c>
      <c r="P57" s="76">
        <v>41</v>
      </c>
      <c r="Q57" s="76">
        <v>41</v>
      </c>
      <c r="R57" s="76">
        <v>41</v>
      </c>
      <c r="S57" s="76">
        <v>11.5</v>
      </c>
      <c r="T57" s="76">
        <v>40</v>
      </c>
    </row>
    <row r="58" spans="1:20" s="84" customFormat="1" ht="15.75" customHeight="1" x14ac:dyDescent="0.3">
      <c r="A58" s="71">
        <v>1974</v>
      </c>
      <c r="B58" s="71">
        <v>12</v>
      </c>
      <c r="C58" s="72">
        <f t="shared" si="0"/>
        <v>41.616666666666667</v>
      </c>
      <c r="D58" s="72">
        <f t="shared" si="1"/>
        <v>499.4</v>
      </c>
      <c r="E58" s="76">
        <v>2216.1</v>
      </c>
      <c r="F58" s="73">
        <f t="shared" si="2"/>
        <v>53.250300360432519</v>
      </c>
      <c r="G58" s="74">
        <f t="shared" si="3"/>
        <v>1.8779236797376773E-2</v>
      </c>
      <c r="H58" s="75"/>
      <c r="I58" s="76">
        <v>40</v>
      </c>
      <c r="J58" s="76">
        <v>40</v>
      </c>
      <c r="K58" s="76">
        <v>42</v>
      </c>
      <c r="L58" s="76">
        <v>43</v>
      </c>
      <c r="M58" s="76">
        <v>42.9</v>
      </c>
      <c r="N58" s="76">
        <v>43</v>
      </c>
      <c r="O58" s="76">
        <v>43</v>
      </c>
      <c r="P58" s="76">
        <v>43</v>
      </c>
      <c r="Q58" s="76">
        <v>43</v>
      </c>
      <c r="R58" s="76">
        <v>43</v>
      </c>
      <c r="S58" s="76">
        <v>35.5</v>
      </c>
      <c r="T58" s="76">
        <v>41</v>
      </c>
    </row>
    <row r="59" spans="1:20" s="84" customFormat="1" ht="15.75" customHeight="1" x14ac:dyDescent="0.3">
      <c r="A59" s="71">
        <v>1975</v>
      </c>
      <c r="B59" s="71">
        <v>12</v>
      </c>
      <c r="C59" s="72">
        <f t="shared" si="0"/>
        <v>42.341666666666661</v>
      </c>
      <c r="D59" s="72">
        <f t="shared" si="1"/>
        <v>508.09999999999997</v>
      </c>
      <c r="E59" s="76">
        <v>2216.1</v>
      </c>
      <c r="F59" s="73">
        <f t="shared" si="2"/>
        <v>52.338516040149578</v>
      </c>
      <c r="G59" s="74">
        <f t="shared" si="3"/>
        <v>1.910638809921333E-2</v>
      </c>
      <c r="H59" s="75"/>
      <c r="I59" s="76">
        <v>41</v>
      </c>
      <c r="J59" s="76">
        <v>41</v>
      </c>
      <c r="K59" s="76">
        <v>43.4</v>
      </c>
      <c r="L59" s="76">
        <v>44</v>
      </c>
      <c r="M59" s="76">
        <v>44</v>
      </c>
      <c r="N59" s="76">
        <v>44</v>
      </c>
      <c r="O59" s="76">
        <v>44</v>
      </c>
      <c r="P59" s="76">
        <v>44</v>
      </c>
      <c r="Q59" s="76">
        <v>44</v>
      </c>
      <c r="R59" s="76">
        <v>44</v>
      </c>
      <c r="S59" s="76">
        <v>32.700000000000003</v>
      </c>
      <c r="T59" s="76">
        <v>42</v>
      </c>
    </row>
    <row r="60" spans="1:20" s="84" customFormat="1" ht="15.75" customHeight="1" x14ac:dyDescent="0.3">
      <c r="A60" s="71">
        <v>1976</v>
      </c>
      <c r="B60" s="71">
        <v>12</v>
      </c>
      <c r="C60" s="72">
        <f t="shared" si="0"/>
        <v>42.783333333333331</v>
      </c>
      <c r="D60" s="72">
        <f t="shared" si="1"/>
        <v>513.4</v>
      </c>
      <c r="E60" s="76">
        <v>2216.1</v>
      </c>
      <c r="F60" s="73">
        <f t="shared" si="2"/>
        <v>51.798208024931824</v>
      </c>
      <c r="G60" s="74">
        <f t="shared" si="3"/>
        <v>1.9305687168148247E-2</v>
      </c>
      <c r="H60" s="75"/>
      <c r="I60" s="76">
        <v>42</v>
      </c>
      <c r="J60" s="76">
        <v>42</v>
      </c>
      <c r="K60" s="76">
        <v>44.7</v>
      </c>
      <c r="L60" s="76">
        <v>45</v>
      </c>
      <c r="M60" s="76">
        <v>44</v>
      </c>
      <c r="N60" s="76">
        <v>43.7</v>
      </c>
      <c r="O60" s="76">
        <f>'Pasture 5N'!O60</f>
        <v>43</v>
      </c>
      <c r="P60" s="76">
        <f>'Pasture 5N'!P60</f>
        <v>43</v>
      </c>
      <c r="Q60" s="76">
        <f>'Pasture 5N'!Q60</f>
        <v>43</v>
      </c>
      <c r="R60" s="76">
        <f>'Pasture 5N'!R60</f>
        <v>43</v>
      </c>
      <c r="S60" s="76">
        <f>'Pasture 5N'!S60</f>
        <v>40</v>
      </c>
      <c r="T60" s="76">
        <f>'Pasture 5N'!T60</f>
        <v>40</v>
      </c>
    </row>
    <row r="61" spans="1:20" s="84" customFormat="1" ht="15.75" customHeight="1" x14ac:dyDescent="0.3">
      <c r="A61" s="71">
        <v>1977</v>
      </c>
      <c r="B61" s="71">
        <v>12</v>
      </c>
      <c r="C61" s="72">
        <f t="shared" si="0"/>
        <v>42</v>
      </c>
      <c r="D61" s="72">
        <f t="shared" si="1"/>
        <v>504</v>
      </c>
      <c r="E61" s="76">
        <v>2216.1</v>
      </c>
      <c r="F61" s="73">
        <f t="shared" ref="F61:F65" si="4">E61/C61</f>
        <v>52.764285714285712</v>
      </c>
      <c r="G61" s="74">
        <f t="shared" ref="G61:G65" si="5">C61/E61</f>
        <v>1.8952213347773115E-2</v>
      </c>
      <c r="H61" s="75"/>
      <c r="I61" s="76">
        <f>'Pasture 5N'!I61</f>
        <v>40</v>
      </c>
      <c r="J61" s="76">
        <f>'Pasture 5N'!J61</f>
        <v>40</v>
      </c>
      <c r="K61" s="76">
        <f>'Pasture 5N'!K61</f>
        <v>43</v>
      </c>
      <c r="L61" s="76">
        <f>'Pasture 5N'!L61</f>
        <v>43</v>
      </c>
      <c r="M61" s="76">
        <f>'Pasture 5N'!M61</f>
        <v>43</v>
      </c>
      <c r="N61" s="76">
        <f>'Pasture 5N'!N61</f>
        <v>43</v>
      </c>
      <c r="O61" s="76">
        <f>'Pasture 5N'!O61</f>
        <v>43</v>
      </c>
      <c r="P61" s="76">
        <f>'Pasture 5N'!P61</f>
        <v>43</v>
      </c>
      <c r="Q61" s="76">
        <f>'Pasture 5N'!Q61</f>
        <v>43</v>
      </c>
      <c r="R61" s="76">
        <f>'Pasture 5N'!R61</f>
        <v>43</v>
      </c>
      <c r="S61" s="76">
        <f>'Pasture 5N'!S61</f>
        <v>40</v>
      </c>
      <c r="T61" s="76">
        <f>'Pasture 5N'!T61</f>
        <v>40</v>
      </c>
    </row>
    <row r="62" spans="1:20" s="84" customFormat="1" ht="15.75" customHeight="1" x14ac:dyDescent="0.3">
      <c r="A62" s="71">
        <v>1978</v>
      </c>
      <c r="B62" s="71">
        <v>12</v>
      </c>
      <c r="C62" s="72">
        <f t="shared" si="0"/>
        <v>42</v>
      </c>
      <c r="D62" s="72">
        <f t="shared" si="1"/>
        <v>504</v>
      </c>
      <c r="E62" s="76">
        <v>2216.1</v>
      </c>
      <c r="F62" s="73">
        <f t="shared" si="4"/>
        <v>52.764285714285712</v>
      </c>
      <c r="G62" s="74">
        <f t="shared" si="5"/>
        <v>1.8952213347773115E-2</v>
      </c>
      <c r="H62" s="75"/>
      <c r="I62" s="76">
        <f>'Pasture 5N'!I62</f>
        <v>40</v>
      </c>
      <c r="J62" s="76">
        <f>'Pasture 5N'!J62</f>
        <v>40</v>
      </c>
      <c r="K62" s="76">
        <f>'Pasture 5N'!K62</f>
        <v>43</v>
      </c>
      <c r="L62" s="76">
        <f>'Pasture 5N'!L62</f>
        <v>43</v>
      </c>
      <c r="M62" s="76">
        <f>'Pasture 5N'!M62</f>
        <v>43</v>
      </c>
      <c r="N62" s="76">
        <f>'Pasture 5N'!N62</f>
        <v>43</v>
      </c>
      <c r="O62" s="76">
        <f>'Pasture 5N'!O62</f>
        <v>43</v>
      </c>
      <c r="P62" s="76">
        <f>'Pasture 5N'!P62</f>
        <v>43</v>
      </c>
      <c r="Q62" s="76">
        <f>'Pasture 5N'!Q62</f>
        <v>43</v>
      </c>
      <c r="R62" s="76">
        <f>'Pasture 5N'!R62</f>
        <v>43</v>
      </c>
      <c r="S62" s="76">
        <f>'Pasture 5N'!S62</f>
        <v>40</v>
      </c>
      <c r="T62" s="76">
        <f>'Pasture 5N'!T62</f>
        <v>40</v>
      </c>
    </row>
    <row r="63" spans="1:20" s="84" customFormat="1" ht="15.75" customHeight="1" x14ac:dyDescent="0.3">
      <c r="A63" s="71">
        <v>1979</v>
      </c>
      <c r="B63" s="71">
        <v>12</v>
      </c>
      <c r="C63" s="72">
        <f t="shared" si="0"/>
        <v>42</v>
      </c>
      <c r="D63" s="72">
        <f t="shared" si="1"/>
        <v>504</v>
      </c>
      <c r="E63" s="76">
        <v>2216.1</v>
      </c>
      <c r="F63" s="73">
        <f t="shared" si="4"/>
        <v>52.764285714285712</v>
      </c>
      <c r="G63" s="74">
        <f t="shared" si="5"/>
        <v>1.8952213347773115E-2</v>
      </c>
      <c r="H63" s="75"/>
      <c r="I63" s="76">
        <f>'Pasture 5N'!I63</f>
        <v>40</v>
      </c>
      <c r="J63" s="76">
        <f>'Pasture 5N'!J63</f>
        <v>40</v>
      </c>
      <c r="K63" s="76">
        <f>'Pasture 5N'!K63</f>
        <v>43</v>
      </c>
      <c r="L63" s="76">
        <f>'Pasture 5N'!L63</f>
        <v>43</v>
      </c>
      <c r="M63" s="76">
        <f>'Pasture 5N'!M63</f>
        <v>43</v>
      </c>
      <c r="N63" s="76">
        <f>'Pasture 5N'!N63</f>
        <v>43</v>
      </c>
      <c r="O63" s="76">
        <f>'Pasture 5N'!O63</f>
        <v>43</v>
      </c>
      <c r="P63" s="76">
        <f>'Pasture 5N'!P63</f>
        <v>43</v>
      </c>
      <c r="Q63" s="76">
        <f>'Pasture 5N'!Q63</f>
        <v>43</v>
      </c>
      <c r="R63" s="76">
        <f>'Pasture 5N'!R63</f>
        <v>43</v>
      </c>
      <c r="S63" s="76">
        <f>'Pasture 5N'!S63</f>
        <v>40</v>
      </c>
      <c r="T63" s="76">
        <f>'Pasture 5N'!T63</f>
        <v>40</v>
      </c>
    </row>
    <row r="64" spans="1:20" s="84" customFormat="1" ht="15.75" customHeight="1" x14ac:dyDescent="0.3">
      <c r="A64" s="71">
        <v>1980</v>
      </c>
      <c r="B64" s="71">
        <v>12</v>
      </c>
      <c r="C64" s="72">
        <f t="shared" si="0"/>
        <v>40.333333333333336</v>
      </c>
      <c r="D64" s="72">
        <f t="shared" si="1"/>
        <v>484</v>
      </c>
      <c r="E64" s="76">
        <v>2216.1</v>
      </c>
      <c r="F64" s="73">
        <f t="shared" si="4"/>
        <v>54.944628099173549</v>
      </c>
      <c r="G64" s="74">
        <f t="shared" si="5"/>
        <v>1.8200141389528152E-2</v>
      </c>
      <c r="H64" s="75"/>
      <c r="I64" s="76">
        <f>'Pasture 5N'!I64</f>
        <v>40</v>
      </c>
      <c r="J64" s="76">
        <f>'Pasture 5N'!J64</f>
        <v>40</v>
      </c>
      <c r="K64" s="76">
        <f>'Pasture 5N'!K64</f>
        <v>43</v>
      </c>
      <c r="L64" s="76">
        <f>'Pasture 5N'!L64</f>
        <v>43</v>
      </c>
      <c r="M64" s="76">
        <f>'Pasture 5N'!M64</f>
        <v>43</v>
      </c>
      <c r="N64" s="76">
        <f>'Pasture 5N'!N64</f>
        <v>43</v>
      </c>
      <c r="O64" s="76">
        <f>'Pasture 5N'!O64</f>
        <v>43</v>
      </c>
      <c r="P64" s="76">
        <f>'Pasture 5N'!P64</f>
        <v>43</v>
      </c>
      <c r="Q64" s="76">
        <f>'Pasture 5N'!Q64</f>
        <v>43</v>
      </c>
      <c r="R64" s="76">
        <f>'Pasture 5N'!R64</f>
        <v>43</v>
      </c>
      <c r="S64" s="76">
        <f>'Pasture 5N'!S64</f>
        <v>30</v>
      </c>
      <c r="T64" s="76">
        <f>'Pasture 5N'!T64</f>
        <v>30</v>
      </c>
    </row>
    <row r="65" spans="1:20" s="84" customFormat="1" ht="15.75" customHeight="1" x14ac:dyDescent="0.3">
      <c r="A65" s="71">
        <v>1981</v>
      </c>
      <c r="B65" s="71">
        <v>12</v>
      </c>
      <c r="C65" s="72">
        <f t="shared" si="0"/>
        <v>32</v>
      </c>
      <c r="D65" s="72">
        <f t="shared" si="1"/>
        <v>384</v>
      </c>
      <c r="E65" s="76">
        <v>2216.1</v>
      </c>
      <c r="F65" s="73">
        <f t="shared" si="4"/>
        <v>69.253124999999997</v>
      </c>
      <c r="G65" s="74">
        <f t="shared" si="5"/>
        <v>1.4439781598303326E-2</v>
      </c>
      <c r="H65" s="75"/>
      <c r="I65" s="76">
        <f>'Pasture 5N'!I65</f>
        <v>30</v>
      </c>
      <c r="J65" s="76">
        <f>'Pasture 5N'!J65</f>
        <v>30</v>
      </c>
      <c r="K65" s="76">
        <f>'Pasture 5N'!K65</f>
        <v>33</v>
      </c>
      <c r="L65" s="76">
        <f>'Pasture 5N'!L65</f>
        <v>33</v>
      </c>
      <c r="M65" s="76">
        <f>'Pasture 5N'!M65</f>
        <v>33</v>
      </c>
      <c r="N65" s="76">
        <f>'Pasture 5N'!N65</f>
        <v>33</v>
      </c>
      <c r="O65" s="76">
        <f>'Pasture 5N'!O65</f>
        <v>33</v>
      </c>
      <c r="P65" s="76">
        <f>'Pasture 5N'!P65</f>
        <v>33</v>
      </c>
      <c r="Q65" s="76">
        <f>'Pasture 5N'!Q65</f>
        <v>33</v>
      </c>
      <c r="R65" s="76">
        <f>'Pasture 5N'!R65</f>
        <v>33</v>
      </c>
      <c r="S65" s="76">
        <f>'Pasture 5N'!S65</f>
        <v>30</v>
      </c>
      <c r="T65" s="76">
        <f>'Pasture 5N'!T65</f>
        <v>30</v>
      </c>
    </row>
    <row r="66" spans="1:20" s="84" customFormat="1" ht="15.75" customHeight="1" x14ac:dyDescent="0.3">
      <c r="A66" s="71">
        <v>1982</v>
      </c>
      <c r="B66" s="71">
        <v>12</v>
      </c>
      <c r="C66" s="72">
        <f t="shared" si="0"/>
        <v>33.666666666666664</v>
      </c>
      <c r="D66" s="72">
        <f t="shared" si="1"/>
        <v>404</v>
      </c>
      <c r="E66" s="76">
        <v>2216.1</v>
      </c>
      <c r="F66" s="73">
        <f t="shared" si="2"/>
        <v>65.824752475247521</v>
      </c>
      <c r="G66" s="74">
        <f t="shared" si="3"/>
        <v>1.519185355654829E-2</v>
      </c>
      <c r="H66" s="75"/>
      <c r="I66" s="76">
        <f>'Pasture 5N'!I66</f>
        <v>30</v>
      </c>
      <c r="J66" s="76">
        <f>'Pasture 5N'!J66</f>
        <v>30</v>
      </c>
      <c r="K66" s="76">
        <f>'Pasture 5N'!K66</f>
        <v>33</v>
      </c>
      <c r="L66" s="76">
        <f>'Pasture 5N'!L66</f>
        <v>33</v>
      </c>
      <c r="M66" s="76">
        <f>'Pasture 5N'!M66</f>
        <v>33</v>
      </c>
      <c r="N66" s="76">
        <f>'Pasture 5N'!N66</f>
        <v>33</v>
      </c>
      <c r="O66" s="76">
        <f>'Pasture 5N'!O66</f>
        <v>33</v>
      </c>
      <c r="P66" s="76">
        <f>'Pasture 5N'!P66</f>
        <v>33</v>
      </c>
      <c r="Q66" s="76">
        <f>'Pasture 5N'!Q66</f>
        <v>33</v>
      </c>
      <c r="R66" s="76">
        <f>'Pasture 5N'!R66</f>
        <v>33</v>
      </c>
      <c r="S66" s="76">
        <v>40</v>
      </c>
      <c r="T66" s="76">
        <v>40</v>
      </c>
    </row>
    <row r="67" spans="1:20" s="84" customFormat="1" ht="15.75" customHeight="1" x14ac:dyDescent="0.3">
      <c r="A67" s="71">
        <v>1983</v>
      </c>
      <c r="B67" s="71">
        <v>12</v>
      </c>
      <c r="C67" s="72">
        <f t="shared" si="0"/>
        <v>42</v>
      </c>
      <c r="D67" s="72">
        <f t="shared" si="1"/>
        <v>504</v>
      </c>
      <c r="E67" s="76">
        <v>2216.1</v>
      </c>
      <c r="F67" s="73">
        <f t="shared" si="2"/>
        <v>52.764285714285712</v>
      </c>
      <c r="G67" s="74">
        <f t="shared" si="3"/>
        <v>1.8952213347773115E-2</v>
      </c>
      <c r="H67" s="75"/>
      <c r="I67" s="76">
        <v>40</v>
      </c>
      <c r="J67" s="76">
        <v>40</v>
      </c>
      <c r="K67" s="76">
        <v>43</v>
      </c>
      <c r="L67" s="76">
        <v>43</v>
      </c>
      <c r="M67" s="76">
        <v>43</v>
      </c>
      <c r="N67" s="76">
        <v>43</v>
      </c>
      <c r="O67" s="76">
        <v>43</v>
      </c>
      <c r="P67" s="76">
        <v>43</v>
      </c>
      <c r="Q67" s="76">
        <v>43</v>
      </c>
      <c r="R67" s="76">
        <v>43</v>
      </c>
      <c r="S67" s="76">
        <v>40</v>
      </c>
      <c r="T67" s="76">
        <v>40</v>
      </c>
    </row>
    <row r="68" spans="1:20" s="84" customFormat="1" ht="15.75" customHeight="1" x14ac:dyDescent="0.3">
      <c r="A68" s="71">
        <v>1984</v>
      </c>
      <c r="B68" s="71">
        <v>12</v>
      </c>
      <c r="C68" s="72">
        <f t="shared" ref="C68:C93" si="6">D68/B68</f>
        <v>43</v>
      </c>
      <c r="D68" s="72">
        <f t="shared" ref="D68:D93" si="7">SUM(I68:T68)</f>
        <v>516</v>
      </c>
      <c r="E68" s="76">
        <v>2216.1</v>
      </c>
      <c r="F68" s="73">
        <f t="shared" ref="F68:F93" si="8">E68/C68</f>
        <v>51.537209302325579</v>
      </c>
      <c r="G68" s="74">
        <f t="shared" ref="G68:G93" si="9">C68/E68</f>
        <v>1.9403456522720096E-2</v>
      </c>
      <c r="H68" s="79"/>
      <c r="I68" s="76">
        <v>40</v>
      </c>
      <c r="J68" s="76">
        <v>40</v>
      </c>
      <c r="K68" s="76">
        <v>43</v>
      </c>
      <c r="L68" s="76">
        <v>43</v>
      </c>
      <c r="M68" s="76">
        <v>43</v>
      </c>
      <c r="N68" s="76">
        <v>43</v>
      </c>
      <c r="O68" s="76">
        <v>43</v>
      </c>
      <c r="P68" s="76">
        <v>43</v>
      </c>
      <c r="Q68" s="76">
        <v>43</v>
      </c>
      <c r="R68" s="76">
        <v>43</v>
      </c>
      <c r="S68" s="76">
        <v>46</v>
      </c>
      <c r="T68" s="76">
        <v>46</v>
      </c>
    </row>
    <row r="69" spans="1:20" s="84" customFormat="1" ht="15.75" customHeight="1" x14ac:dyDescent="0.3">
      <c r="A69" s="71">
        <v>1985</v>
      </c>
      <c r="B69" s="71">
        <v>12</v>
      </c>
      <c r="C69" s="72">
        <f t="shared" si="6"/>
        <v>48.666666666666664</v>
      </c>
      <c r="D69" s="72">
        <f t="shared" si="7"/>
        <v>584</v>
      </c>
      <c r="E69" s="76">
        <v>2216.1</v>
      </c>
      <c r="F69" s="73">
        <f t="shared" si="8"/>
        <v>45.536301369863011</v>
      </c>
      <c r="G69" s="74">
        <f t="shared" si="9"/>
        <v>2.1960501180752975E-2</v>
      </c>
      <c r="H69" s="79"/>
      <c r="I69" s="76">
        <v>46</v>
      </c>
      <c r="J69" s="76">
        <v>46</v>
      </c>
      <c r="K69" s="76">
        <v>49</v>
      </c>
      <c r="L69" s="76">
        <v>49</v>
      </c>
      <c r="M69" s="76">
        <v>49</v>
      </c>
      <c r="N69" s="76">
        <v>49</v>
      </c>
      <c r="O69" s="76">
        <v>49</v>
      </c>
      <c r="P69" s="76">
        <v>49</v>
      </c>
      <c r="Q69" s="76">
        <v>49</v>
      </c>
      <c r="R69" s="76">
        <v>49</v>
      </c>
      <c r="S69" s="76">
        <v>50</v>
      </c>
      <c r="T69" s="76">
        <v>50</v>
      </c>
    </row>
    <row r="70" spans="1:20" s="84" customFormat="1" ht="15.75" customHeight="1" x14ac:dyDescent="0.3">
      <c r="A70" s="71">
        <v>1986</v>
      </c>
      <c r="B70" s="71">
        <v>12</v>
      </c>
      <c r="C70" s="72">
        <f t="shared" si="6"/>
        <v>52</v>
      </c>
      <c r="D70" s="72">
        <f t="shared" si="7"/>
        <v>624</v>
      </c>
      <c r="E70" s="76">
        <v>2216.1</v>
      </c>
      <c r="F70" s="73">
        <f t="shared" si="8"/>
        <v>42.617307692307691</v>
      </c>
      <c r="G70" s="74">
        <f t="shared" si="9"/>
        <v>2.3464645097242904E-2</v>
      </c>
      <c r="H70" s="79"/>
      <c r="I70" s="76">
        <v>50</v>
      </c>
      <c r="J70" s="76">
        <v>50</v>
      </c>
      <c r="K70" s="76">
        <v>53</v>
      </c>
      <c r="L70" s="76">
        <v>53</v>
      </c>
      <c r="M70" s="76">
        <v>53</v>
      </c>
      <c r="N70" s="76">
        <v>53</v>
      </c>
      <c r="O70" s="76">
        <v>53</v>
      </c>
      <c r="P70" s="76">
        <v>53</v>
      </c>
      <c r="Q70" s="76">
        <v>53</v>
      </c>
      <c r="R70" s="76">
        <v>53</v>
      </c>
      <c r="S70" s="76">
        <v>50</v>
      </c>
      <c r="T70" s="76">
        <v>50</v>
      </c>
    </row>
    <row r="71" spans="1:20" s="84" customFormat="1" ht="15.75" customHeight="1" x14ac:dyDescent="0.3">
      <c r="A71" s="71">
        <v>1987</v>
      </c>
      <c r="B71" s="71">
        <v>12</v>
      </c>
      <c r="C71" s="72">
        <f t="shared" si="6"/>
        <v>52.083333333333336</v>
      </c>
      <c r="D71" s="72">
        <f t="shared" si="7"/>
        <v>625</v>
      </c>
      <c r="E71" s="76">
        <v>2216.1</v>
      </c>
      <c r="F71" s="73">
        <f t="shared" si="8"/>
        <v>42.549119999999995</v>
      </c>
      <c r="G71" s="74">
        <f t="shared" si="9"/>
        <v>2.3502248695155156E-2</v>
      </c>
      <c r="H71" s="79"/>
      <c r="I71" s="76">
        <v>50</v>
      </c>
      <c r="J71" s="76">
        <v>50</v>
      </c>
      <c r="K71" s="76">
        <v>54.5</v>
      </c>
      <c r="L71" s="76">
        <v>54.5</v>
      </c>
      <c r="M71" s="76">
        <v>54.5</v>
      </c>
      <c r="N71" s="76">
        <v>54.5</v>
      </c>
      <c r="O71" s="76">
        <v>54.5</v>
      </c>
      <c r="P71" s="76">
        <v>54.5</v>
      </c>
      <c r="Q71" s="76">
        <v>54.5</v>
      </c>
      <c r="R71" s="76">
        <v>54.5</v>
      </c>
      <c r="S71" s="76">
        <v>44.5</v>
      </c>
      <c r="T71" s="76">
        <v>44.5</v>
      </c>
    </row>
    <row r="72" spans="1:20" s="84" customFormat="1" ht="15.75" customHeight="1" x14ac:dyDescent="0.3">
      <c r="A72" s="71">
        <v>1988</v>
      </c>
      <c r="B72" s="71">
        <v>12</v>
      </c>
      <c r="C72" s="72">
        <f t="shared" si="6"/>
        <v>43.75</v>
      </c>
      <c r="D72" s="72">
        <f t="shared" si="7"/>
        <v>525</v>
      </c>
      <c r="E72" s="76">
        <v>2216.1</v>
      </c>
      <c r="F72" s="73">
        <f t="shared" si="8"/>
        <v>50.653714285714287</v>
      </c>
      <c r="G72" s="74">
        <f t="shared" si="9"/>
        <v>1.9741888903930329E-2</v>
      </c>
      <c r="H72" s="79"/>
      <c r="I72" s="76">
        <v>44.5</v>
      </c>
      <c r="J72" s="76">
        <v>44.5</v>
      </c>
      <c r="K72" s="76">
        <v>44.5</v>
      </c>
      <c r="L72" s="76">
        <v>44.5</v>
      </c>
      <c r="M72" s="76">
        <v>44.5</v>
      </c>
      <c r="N72" s="76">
        <v>44.5</v>
      </c>
      <c r="O72" s="76">
        <v>44.5</v>
      </c>
      <c r="P72" s="76">
        <v>44.5</v>
      </c>
      <c r="Q72" s="76">
        <v>44.5</v>
      </c>
      <c r="R72" s="76">
        <v>44.5</v>
      </c>
      <c r="S72" s="76">
        <v>40</v>
      </c>
      <c r="T72" s="76">
        <v>40</v>
      </c>
    </row>
    <row r="73" spans="1:20" s="84" customFormat="1" ht="15.75" customHeight="1" x14ac:dyDescent="0.3">
      <c r="A73" s="71">
        <v>1989</v>
      </c>
      <c r="B73" s="71">
        <v>12</v>
      </c>
      <c r="C73" s="72">
        <f t="shared" si="6"/>
        <v>42.166666666666664</v>
      </c>
      <c r="D73" s="72">
        <f t="shared" si="7"/>
        <v>506</v>
      </c>
      <c r="E73" s="76">
        <v>2216.1</v>
      </c>
      <c r="F73" s="73">
        <f t="shared" si="8"/>
        <v>52.555731225296441</v>
      </c>
      <c r="G73" s="74">
        <f t="shared" si="9"/>
        <v>1.9027420543597611E-2</v>
      </c>
      <c r="H73" s="79"/>
      <c r="I73" s="76">
        <v>40</v>
      </c>
      <c r="J73" s="76">
        <v>40</v>
      </c>
      <c r="K73" s="76">
        <v>44.5</v>
      </c>
      <c r="L73" s="76">
        <v>44.5</v>
      </c>
      <c r="M73" s="76">
        <v>44.5</v>
      </c>
      <c r="N73" s="76">
        <v>44.5</v>
      </c>
      <c r="O73" s="76">
        <v>44.5</v>
      </c>
      <c r="P73" s="76">
        <v>44.5</v>
      </c>
      <c r="Q73" s="76">
        <v>44.5</v>
      </c>
      <c r="R73" s="76">
        <v>44.5</v>
      </c>
      <c r="S73" s="76">
        <v>35</v>
      </c>
      <c r="T73" s="76">
        <v>35</v>
      </c>
    </row>
    <row r="74" spans="1:20" s="84" customFormat="1" ht="15.75" customHeight="1" x14ac:dyDescent="0.3">
      <c r="A74" s="71">
        <v>1990</v>
      </c>
      <c r="B74" s="71">
        <v>12</v>
      </c>
      <c r="C74" s="72">
        <f t="shared" si="6"/>
        <v>45.5</v>
      </c>
      <c r="D74" s="72">
        <f t="shared" si="7"/>
        <v>546</v>
      </c>
      <c r="E74" s="76">
        <v>2216.1</v>
      </c>
      <c r="F74" s="73">
        <f t="shared" si="8"/>
        <v>48.705494505494507</v>
      </c>
      <c r="G74" s="74">
        <f t="shared" si="9"/>
        <v>2.0531564460087543E-2</v>
      </c>
      <c r="H74" s="79"/>
      <c r="I74" s="76">
        <v>35</v>
      </c>
      <c r="J74" s="76">
        <v>35</v>
      </c>
      <c r="K74" s="76">
        <v>39.5</v>
      </c>
      <c r="L74" s="76">
        <v>39.5</v>
      </c>
      <c r="M74" s="76">
        <v>39.5</v>
      </c>
      <c r="N74" s="76">
        <v>39.5</v>
      </c>
      <c r="O74" s="76">
        <v>39.5</v>
      </c>
      <c r="P74" s="76">
        <v>39.5</v>
      </c>
      <c r="Q74" s="76">
        <v>39.5</v>
      </c>
      <c r="R74" s="76">
        <v>39.5</v>
      </c>
      <c r="S74" s="76">
        <v>80</v>
      </c>
      <c r="T74" s="76">
        <v>80</v>
      </c>
    </row>
    <row r="75" spans="1:20" s="84" customFormat="1" ht="15.75" customHeight="1" x14ac:dyDescent="0.3">
      <c r="A75" s="71">
        <v>1991</v>
      </c>
      <c r="B75" s="71">
        <v>12</v>
      </c>
      <c r="C75" s="72">
        <f t="shared" si="6"/>
        <v>13.333333333333334</v>
      </c>
      <c r="D75" s="72">
        <f t="shared" si="7"/>
        <v>160</v>
      </c>
      <c r="E75" s="76">
        <v>2216.1</v>
      </c>
      <c r="F75" s="73">
        <f t="shared" si="8"/>
        <v>166.20749999999998</v>
      </c>
      <c r="G75" s="74">
        <f t="shared" si="9"/>
        <v>6.0165756659597194E-3</v>
      </c>
      <c r="H75" s="75"/>
      <c r="I75" s="76">
        <v>80</v>
      </c>
      <c r="J75" s="76">
        <v>80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0</v>
      </c>
      <c r="R75" s="76">
        <v>0</v>
      </c>
      <c r="S75" s="76">
        <v>0</v>
      </c>
      <c r="T75" s="76">
        <v>0</v>
      </c>
    </row>
    <row r="76" spans="1:20" s="84" customFormat="1" ht="15.75" customHeight="1" x14ac:dyDescent="0.3">
      <c r="A76" s="71">
        <v>1992</v>
      </c>
      <c r="B76" s="71">
        <v>12</v>
      </c>
      <c r="C76" s="72">
        <f t="shared" si="6"/>
        <v>74.833333333333329</v>
      </c>
      <c r="D76" s="72">
        <f t="shared" si="7"/>
        <v>898</v>
      </c>
      <c r="E76" s="76">
        <v>2216.1</v>
      </c>
      <c r="F76" s="73">
        <f t="shared" si="8"/>
        <v>29.613808463251672</v>
      </c>
      <c r="G76" s="74">
        <f t="shared" si="9"/>
        <v>3.3768030925198922E-2</v>
      </c>
      <c r="H76" s="75"/>
      <c r="I76" s="76">
        <v>0</v>
      </c>
      <c r="J76" s="76">
        <v>0</v>
      </c>
      <c r="K76" s="76">
        <v>91</v>
      </c>
      <c r="L76" s="76">
        <v>91</v>
      </c>
      <c r="M76" s="76">
        <v>91</v>
      </c>
      <c r="N76" s="76">
        <v>91</v>
      </c>
      <c r="O76" s="76">
        <v>91</v>
      </c>
      <c r="P76" s="76">
        <v>91</v>
      </c>
      <c r="Q76" s="76">
        <v>91</v>
      </c>
      <c r="R76" s="76">
        <v>91</v>
      </c>
      <c r="S76" s="76">
        <v>85</v>
      </c>
      <c r="T76" s="76">
        <v>85</v>
      </c>
    </row>
    <row r="77" spans="1:20" s="84" customFormat="1" ht="15.75" customHeight="1" x14ac:dyDescent="0.3">
      <c r="A77" s="71">
        <v>1993</v>
      </c>
      <c r="B77" s="71">
        <v>12</v>
      </c>
      <c r="C77" s="72">
        <f t="shared" si="6"/>
        <v>28.333333333333332</v>
      </c>
      <c r="D77" s="72">
        <f t="shared" si="7"/>
        <v>340</v>
      </c>
      <c r="E77" s="76">
        <v>2216.1</v>
      </c>
      <c r="F77" s="73">
        <f t="shared" si="8"/>
        <v>78.215294117647062</v>
      </c>
      <c r="G77" s="74">
        <f t="shared" si="9"/>
        <v>1.2785223290164403E-2</v>
      </c>
      <c r="H77" s="75"/>
      <c r="I77" s="76">
        <v>85</v>
      </c>
      <c r="J77" s="76">
        <v>85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85</v>
      </c>
      <c r="T77" s="76">
        <v>85</v>
      </c>
    </row>
    <row r="78" spans="1:20" s="84" customFormat="1" ht="15.75" customHeight="1" x14ac:dyDescent="0.3">
      <c r="A78" s="71">
        <v>1994</v>
      </c>
      <c r="B78" s="71">
        <v>12</v>
      </c>
      <c r="C78" s="72">
        <f t="shared" si="6"/>
        <v>14.166666666666666</v>
      </c>
      <c r="D78" s="72">
        <f t="shared" si="7"/>
        <v>170</v>
      </c>
      <c r="E78" s="76">
        <v>2216.1</v>
      </c>
      <c r="F78" s="73">
        <f t="shared" si="8"/>
        <v>156.43058823529412</v>
      </c>
      <c r="G78" s="74">
        <f t="shared" si="9"/>
        <v>6.3926116450822015E-3</v>
      </c>
      <c r="H78" s="75"/>
      <c r="I78" s="76">
        <v>85</v>
      </c>
      <c r="J78" s="76">
        <v>85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0</v>
      </c>
      <c r="T78" s="76">
        <v>0</v>
      </c>
    </row>
    <row r="79" spans="1:20" s="84" customFormat="1" ht="15.75" customHeight="1" x14ac:dyDescent="0.3">
      <c r="A79" s="71">
        <v>1995</v>
      </c>
      <c r="B79" s="71">
        <v>12</v>
      </c>
      <c r="C79" s="72">
        <f t="shared" si="6"/>
        <v>62.666666666666664</v>
      </c>
      <c r="D79" s="72">
        <f t="shared" si="7"/>
        <v>752</v>
      </c>
      <c r="E79" s="76">
        <v>2216.1</v>
      </c>
      <c r="F79" s="73">
        <f t="shared" si="8"/>
        <v>35.363297872340425</v>
      </c>
      <c r="G79" s="74">
        <f t="shared" si="9"/>
        <v>2.8277905630010678E-2</v>
      </c>
      <c r="H79" s="75"/>
      <c r="I79" s="76">
        <v>0</v>
      </c>
      <c r="J79" s="76">
        <v>0</v>
      </c>
      <c r="K79" s="76">
        <v>94</v>
      </c>
      <c r="L79" s="76">
        <v>94</v>
      </c>
      <c r="M79" s="76">
        <v>94</v>
      </c>
      <c r="N79" s="76">
        <v>94</v>
      </c>
      <c r="O79" s="76">
        <v>94</v>
      </c>
      <c r="P79" s="76">
        <v>94</v>
      </c>
      <c r="Q79" s="76">
        <v>94</v>
      </c>
      <c r="R79" s="76">
        <v>94</v>
      </c>
      <c r="S79" s="76">
        <v>0</v>
      </c>
      <c r="T79" s="76">
        <v>0</v>
      </c>
    </row>
    <row r="80" spans="1:20" s="84" customFormat="1" ht="15.75" customHeight="1" x14ac:dyDescent="0.3">
      <c r="A80" s="71">
        <v>1996</v>
      </c>
      <c r="B80" s="71">
        <v>12</v>
      </c>
      <c r="C80" s="72">
        <f t="shared" si="6"/>
        <v>15.666666666666666</v>
      </c>
      <c r="D80" s="72">
        <f t="shared" si="7"/>
        <v>188</v>
      </c>
      <c r="E80" s="76">
        <v>2216.1</v>
      </c>
      <c r="F80" s="73">
        <f t="shared" si="8"/>
        <v>141.4531914893617</v>
      </c>
      <c r="G80" s="74">
        <f t="shared" si="9"/>
        <v>7.0694764075026695E-3</v>
      </c>
      <c r="H80" s="75"/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0</v>
      </c>
      <c r="O80" s="76">
        <v>0</v>
      </c>
      <c r="P80" s="76">
        <v>0</v>
      </c>
      <c r="Q80" s="76">
        <v>0</v>
      </c>
      <c r="R80" s="76">
        <v>0</v>
      </c>
      <c r="S80" s="76">
        <v>94</v>
      </c>
      <c r="T80" s="76">
        <v>94</v>
      </c>
    </row>
    <row r="81" spans="1:20" s="84" customFormat="1" ht="15.75" customHeight="1" x14ac:dyDescent="0.3">
      <c r="A81" s="71">
        <v>1997</v>
      </c>
      <c r="B81" s="71">
        <v>12</v>
      </c>
      <c r="C81" s="72">
        <f t="shared" si="6"/>
        <v>15.666666666666666</v>
      </c>
      <c r="D81" s="72">
        <f t="shared" si="7"/>
        <v>188</v>
      </c>
      <c r="E81" s="76">
        <v>2216.1</v>
      </c>
      <c r="F81" s="73">
        <f t="shared" si="8"/>
        <v>141.4531914893617</v>
      </c>
      <c r="G81" s="74">
        <f t="shared" si="9"/>
        <v>7.0694764075026695E-3</v>
      </c>
      <c r="H81" s="75"/>
      <c r="I81" s="76">
        <v>94</v>
      </c>
      <c r="J81" s="76">
        <v>94</v>
      </c>
      <c r="K81" s="76">
        <v>0</v>
      </c>
      <c r="L81" s="76">
        <v>0</v>
      </c>
      <c r="M81" s="76">
        <v>0</v>
      </c>
      <c r="N81" s="76">
        <v>0</v>
      </c>
      <c r="O81" s="76">
        <v>0</v>
      </c>
      <c r="P81" s="76">
        <v>0</v>
      </c>
      <c r="Q81" s="76">
        <v>0</v>
      </c>
      <c r="R81" s="76">
        <v>0</v>
      </c>
      <c r="S81" s="76">
        <v>0</v>
      </c>
      <c r="T81" s="76">
        <v>0</v>
      </c>
    </row>
    <row r="82" spans="1:20" s="84" customFormat="1" ht="15.75" customHeight="1" x14ac:dyDescent="0.3">
      <c r="A82" s="71">
        <v>1998</v>
      </c>
      <c r="B82" s="71">
        <v>12</v>
      </c>
      <c r="C82" s="72">
        <f t="shared" si="6"/>
        <v>62.666666666666664</v>
      </c>
      <c r="D82" s="72">
        <f t="shared" si="7"/>
        <v>752</v>
      </c>
      <c r="E82" s="76">
        <v>2216.1</v>
      </c>
      <c r="F82" s="73">
        <f t="shared" si="8"/>
        <v>35.363297872340425</v>
      </c>
      <c r="G82" s="74">
        <f t="shared" si="9"/>
        <v>2.8277905630010678E-2</v>
      </c>
      <c r="H82" s="75"/>
      <c r="I82" s="76">
        <v>0</v>
      </c>
      <c r="J82" s="76">
        <v>0</v>
      </c>
      <c r="K82" s="76">
        <v>94</v>
      </c>
      <c r="L82" s="76">
        <v>94</v>
      </c>
      <c r="M82" s="76">
        <v>94</v>
      </c>
      <c r="N82" s="76">
        <v>94</v>
      </c>
      <c r="O82" s="76">
        <v>94</v>
      </c>
      <c r="P82" s="76">
        <v>94</v>
      </c>
      <c r="Q82" s="76">
        <v>94</v>
      </c>
      <c r="R82" s="76">
        <v>94</v>
      </c>
      <c r="S82" s="76">
        <v>0</v>
      </c>
      <c r="T82" s="76">
        <v>0</v>
      </c>
    </row>
    <row r="83" spans="1:20" s="84" customFormat="1" ht="15.75" customHeight="1" x14ac:dyDescent="0.3">
      <c r="A83" s="71">
        <v>1999</v>
      </c>
      <c r="B83" s="71">
        <v>12</v>
      </c>
      <c r="C83" s="72">
        <f t="shared" si="6"/>
        <v>14.166666666666666</v>
      </c>
      <c r="D83" s="72">
        <f t="shared" si="7"/>
        <v>170</v>
      </c>
      <c r="E83" s="76">
        <v>2216.1</v>
      </c>
      <c r="F83" s="73">
        <f t="shared" si="8"/>
        <v>156.43058823529412</v>
      </c>
      <c r="G83" s="74">
        <f t="shared" si="9"/>
        <v>6.3926116450822015E-3</v>
      </c>
      <c r="H83" s="75"/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85</v>
      </c>
      <c r="T83" s="76">
        <v>85</v>
      </c>
    </row>
    <row r="84" spans="1:20" s="84" customFormat="1" ht="15.75" customHeight="1" x14ac:dyDescent="0.3">
      <c r="A84" s="71">
        <v>2000</v>
      </c>
      <c r="B84" s="71">
        <v>12</v>
      </c>
      <c r="C84" s="72">
        <f t="shared" si="6"/>
        <v>14.166666666666666</v>
      </c>
      <c r="D84" s="72">
        <f t="shared" si="7"/>
        <v>170</v>
      </c>
      <c r="E84" s="76">
        <v>2216.1</v>
      </c>
      <c r="F84" s="73">
        <f t="shared" si="8"/>
        <v>156.43058823529412</v>
      </c>
      <c r="G84" s="74">
        <f t="shared" si="9"/>
        <v>6.3926116450822015E-3</v>
      </c>
      <c r="H84" s="75"/>
      <c r="I84" s="76">
        <v>85</v>
      </c>
      <c r="J84" s="76">
        <v>85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0</v>
      </c>
      <c r="Q84" s="76">
        <v>0</v>
      </c>
      <c r="R84" s="76">
        <v>0</v>
      </c>
      <c r="S84" s="76">
        <v>0</v>
      </c>
      <c r="T84" s="76">
        <v>0</v>
      </c>
    </row>
    <row r="85" spans="1:20" s="84" customFormat="1" ht="15.75" customHeight="1" x14ac:dyDescent="0.3">
      <c r="A85" s="71">
        <v>2001</v>
      </c>
      <c r="B85" s="71">
        <v>12</v>
      </c>
      <c r="C85" s="72">
        <f t="shared" si="6"/>
        <v>61.666666666666664</v>
      </c>
      <c r="D85" s="72">
        <f t="shared" si="7"/>
        <v>740</v>
      </c>
      <c r="E85" s="76">
        <v>2216.1</v>
      </c>
      <c r="F85" s="73">
        <f t="shared" si="8"/>
        <v>35.936756756756758</v>
      </c>
      <c r="G85" s="74">
        <f t="shared" si="9"/>
        <v>2.7826662455063701E-2</v>
      </c>
      <c r="H85" s="75"/>
      <c r="I85" s="76">
        <v>0</v>
      </c>
      <c r="J85" s="76">
        <v>0</v>
      </c>
      <c r="K85" s="76">
        <v>92.5</v>
      </c>
      <c r="L85" s="76">
        <v>92.5</v>
      </c>
      <c r="M85" s="76">
        <v>92.5</v>
      </c>
      <c r="N85" s="76">
        <v>92.5</v>
      </c>
      <c r="O85" s="76">
        <v>92.5</v>
      </c>
      <c r="P85" s="76">
        <v>92.5</v>
      </c>
      <c r="Q85" s="76">
        <v>92.5</v>
      </c>
      <c r="R85" s="76">
        <v>92.5</v>
      </c>
      <c r="S85" s="76">
        <v>0</v>
      </c>
      <c r="T85" s="76">
        <v>0</v>
      </c>
    </row>
    <row r="86" spans="1:20" s="84" customFormat="1" ht="15.75" customHeight="1" x14ac:dyDescent="0.3">
      <c r="A86" s="71">
        <v>2002</v>
      </c>
      <c r="B86" s="71">
        <v>12</v>
      </c>
      <c r="C86" s="72">
        <f t="shared" si="6"/>
        <v>14.166666666666666</v>
      </c>
      <c r="D86" s="72">
        <f t="shared" si="7"/>
        <v>170</v>
      </c>
      <c r="E86" s="76">
        <v>2216.1</v>
      </c>
      <c r="F86" s="73">
        <f t="shared" si="8"/>
        <v>156.43058823529412</v>
      </c>
      <c r="G86" s="74">
        <f t="shared" si="9"/>
        <v>6.3926116450822015E-3</v>
      </c>
      <c r="H86" s="75"/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0</v>
      </c>
      <c r="R86" s="76">
        <v>0</v>
      </c>
      <c r="S86" s="76">
        <v>85</v>
      </c>
      <c r="T86" s="76">
        <v>85</v>
      </c>
    </row>
    <row r="87" spans="1:20" s="84" customFormat="1" ht="15.75" customHeight="1" x14ac:dyDescent="0.3">
      <c r="A87" s="71">
        <v>2003</v>
      </c>
      <c r="B87" s="71">
        <v>12</v>
      </c>
      <c r="C87" s="72">
        <f t="shared" si="6"/>
        <v>14.166666666666666</v>
      </c>
      <c r="D87" s="72">
        <f t="shared" si="7"/>
        <v>170</v>
      </c>
      <c r="E87" s="76">
        <v>2216.1</v>
      </c>
      <c r="F87" s="73">
        <f t="shared" si="8"/>
        <v>156.43058823529412</v>
      </c>
      <c r="G87" s="74">
        <f t="shared" si="9"/>
        <v>6.3926116450822015E-3</v>
      </c>
      <c r="H87" s="75"/>
      <c r="I87" s="76">
        <v>85</v>
      </c>
      <c r="J87" s="76">
        <v>85</v>
      </c>
      <c r="K87" s="76">
        <v>0</v>
      </c>
      <c r="L87" s="76">
        <v>0</v>
      </c>
      <c r="M87" s="76">
        <v>0</v>
      </c>
      <c r="N87" s="76">
        <v>0</v>
      </c>
      <c r="O87" s="76">
        <v>0</v>
      </c>
      <c r="P87" s="76">
        <v>0</v>
      </c>
      <c r="Q87" s="76">
        <v>0</v>
      </c>
      <c r="R87" s="76">
        <v>0</v>
      </c>
      <c r="S87" s="76">
        <v>0</v>
      </c>
      <c r="T87" s="76">
        <v>0</v>
      </c>
    </row>
    <row r="88" spans="1:20" s="84" customFormat="1" ht="15.75" customHeight="1" x14ac:dyDescent="0.3">
      <c r="A88" s="71">
        <v>2004</v>
      </c>
      <c r="B88" s="71">
        <v>12</v>
      </c>
      <c r="C88" s="72">
        <f t="shared" si="6"/>
        <v>61.666666666666664</v>
      </c>
      <c r="D88" s="72">
        <f t="shared" si="7"/>
        <v>740</v>
      </c>
      <c r="E88" s="76">
        <v>2216.1</v>
      </c>
      <c r="F88" s="73">
        <f t="shared" si="8"/>
        <v>35.936756756756758</v>
      </c>
      <c r="G88" s="74">
        <f t="shared" si="9"/>
        <v>2.7826662455063701E-2</v>
      </c>
      <c r="H88" s="75"/>
      <c r="I88" s="76">
        <v>0</v>
      </c>
      <c r="J88" s="76">
        <v>0</v>
      </c>
      <c r="K88" s="76">
        <v>92.5</v>
      </c>
      <c r="L88" s="76">
        <v>92.5</v>
      </c>
      <c r="M88" s="76">
        <v>92.5</v>
      </c>
      <c r="N88" s="76">
        <v>92.5</v>
      </c>
      <c r="O88" s="76">
        <v>92.5</v>
      </c>
      <c r="P88" s="76">
        <v>92.5</v>
      </c>
      <c r="Q88" s="76">
        <v>92.5</v>
      </c>
      <c r="R88" s="76">
        <v>92.5</v>
      </c>
      <c r="S88" s="76">
        <v>0</v>
      </c>
      <c r="T88" s="76">
        <v>0</v>
      </c>
    </row>
    <row r="89" spans="1:20" s="84" customFormat="1" ht="15.75" customHeight="1" x14ac:dyDescent="0.3">
      <c r="A89" s="71">
        <v>2005</v>
      </c>
      <c r="B89" s="71">
        <v>12</v>
      </c>
      <c r="C89" s="72">
        <f t="shared" si="6"/>
        <v>0</v>
      </c>
      <c r="D89" s="72">
        <f t="shared" si="7"/>
        <v>0</v>
      </c>
      <c r="E89" s="76">
        <v>2216.1</v>
      </c>
      <c r="F89" s="73" t="e">
        <f t="shared" si="8"/>
        <v>#DIV/0!</v>
      </c>
      <c r="G89" s="74">
        <f t="shared" si="9"/>
        <v>0</v>
      </c>
      <c r="H89" s="75"/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</row>
    <row r="90" spans="1:20" s="84" customFormat="1" ht="15.75" customHeight="1" x14ac:dyDescent="0.3">
      <c r="A90" s="71">
        <v>2006</v>
      </c>
      <c r="B90" s="71">
        <v>12</v>
      </c>
      <c r="C90" s="72">
        <f t="shared" si="6"/>
        <v>37.116666666666667</v>
      </c>
      <c r="D90" s="72">
        <f t="shared" si="7"/>
        <v>445.40000000000003</v>
      </c>
      <c r="E90" s="76">
        <v>2216.1</v>
      </c>
      <c r="F90" s="73">
        <f t="shared" si="8"/>
        <v>59.706331387516833</v>
      </c>
      <c r="G90" s="74">
        <f t="shared" si="9"/>
        <v>1.6748642510115368E-2</v>
      </c>
      <c r="H90" s="75"/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  <c r="Q90" s="76">
        <v>0</v>
      </c>
      <c r="R90" s="76">
        <v>0</v>
      </c>
      <c r="S90" s="76">
        <v>32.799999999999997</v>
      </c>
      <c r="T90" s="76">
        <v>412.6</v>
      </c>
    </row>
    <row r="91" spans="1:20" s="84" customFormat="1" ht="15.75" customHeight="1" x14ac:dyDescent="0.3">
      <c r="A91" s="71">
        <v>2007</v>
      </c>
      <c r="B91" s="71">
        <v>12</v>
      </c>
      <c r="C91" s="72">
        <f t="shared" si="6"/>
        <v>11.858333333333334</v>
      </c>
      <c r="D91" s="72">
        <f t="shared" si="7"/>
        <v>142.30000000000001</v>
      </c>
      <c r="E91" s="76">
        <v>2216.1</v>
      </c>
      <c r="F91" s="73">
        <f t="shared" si="8"/>
        <v>186.88123682361206</v>
      </c>
      <c r="G91" s="74">
        <f t="shared" si="9"/>
        <v>5.3509919829129258E-3</v>
      </c>
      <c r="H91" s="75"/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142.30000000000001</v>
      </c>
      <c r="R91" s="76">
        <v>0</v>
      </c>
      <c r="S91" s="76">
        <v>0</v>
      </c>
      <c r="T91" s="76">
        <v>0</v>
      </c>
    </row>
    <row r="92" spans="1:20" s="84" customFormat="1" ht="15.75" customHeight="1" x14ac:dyDescent="0.3">
      <c r="A92" s="85">
        <v>2008</v>
      </c>
      <c r="B92" s="71">
        <v>12</v>
      </c>
      <c r="C92" s="72">
        <f t="shared" si="6"/>
        <v>11.991666666666667</v>
      </c>
      <c r="D92" s="72">
        <f t="shared" si="7"/>
        <v>143.9</v>
      </c>
      <c r="E92" s="76">
        <v>1396.1</v>
      </c>
      <c r="F92" s="76">
        <f t="shared" si="8"/>
        <v>116.42251563585822</v>
      </c>
      <c r="G92" s="86">
        <f t="shared" si="9"/>
        <v>8.5894038153904936E-3</v>
      </c>
      <c r="H92" s="75"/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137.1</v>
      </c>
      <c r="P92" s="73">
        <v>6.8</v>
      </c>
      <c r="Q92" s="73">
        <v>0</v>
      </c>
      <c r="R92" s="73">
        <v>0</v>
      </c>
      <c r="S92" s="73">
        <v>0</v>
      </c>
      <c r="T92" s="73">
        <v>0</v>
      </c>
    </row>
    <row r="93" spans="1:20" s="84" customFormat="1" ht="15.75" customHeight="1" x14ac:dyDescent="0.3">
      <c r="A93" s="85">
        <v>2009</v>
      </c>
      <c r="B93" s="71">
        <v>12</v>
      </c>
      <c r="C93" s="72">
        <f t="shared" si="6"/>
        <v>41.425000000000004</v>
      </c>
      <c r="D93" s="72">
        <f t="shared" si="7"/>
        <v>497.1</v>
      </c>
      <c r="E93" s="76">
        <v>1396.1</v>
      </c>
      <c r="F93" s="76">
        <f t="shared" si="8"/>
        <v>33.701870850935421</v>
      </c>
      <c r="G93" s="86">
        <f t="shared" si="9"/>
        <v>2.9671943270539364E-2</v>
      </c>
      <c r="H93" s="75"/>
      <c r="I93" s="73">
        <v>0</v>
      </c>
      <c r="J93" s="73">
        <v>0</v>
      </c>
      <c r="K93" s="73">
        <v>0</v>
      </c>
      <c r="L93" s="73">
        <v>0</v>
      </c>
      <c r="M93" s="73">
        <v>0</v>
      </c>
      <c r="N93" s="73">
        <v>412.3</v>
      </c>
      <c r="O93" s="73">
        <v>31.9</v>
      </c>
      <c r="P93" s="73">
        <v>29.1</v>
      </c>
      <c r="Q93" s="73">
        <v>14.6</v>
      </c>
      <c r="R93" s="73">
        <v>4.5</v>
      </c>
      <c r="S93" s="73">
        <v>4.7</v>
      </c>
      <c r="T93" s="73">
        <v>0</v>
      </c>
    </row>
    <row r="94" spans="1:20" s="84" customFormat="1" ht="15.75" customHeight="1" x14ac:dyDescent="0.3">
      <c r="A94" s="85">
        <v>2010</v>
      </c>
      <c r="B94" s="71">
        <v>12</v>
      </c>
      <c r="C94" s="72">
        <f t="shared" ref="C94:C103" si="10">D94/B94</f>
        <v>30.691666666666666</v>
      </c>
      <c r="D94" s="72">
        <f t="shared" ref="D94:D104" si="11">SUM(I94:T94)</f>
        <v>368.3</v>
      </c>
      <c r="E94" s="76">
        <v>1396.1</v>
      </c>
      <c r="F94" s="73">
        <f t="shared" ref="F94:F103" si="12">E94/C94</f>
        <v>45.487917458593536</v>
      </c>
      <c r="G94" s="74">
        <f t="shared" ref="G94:G104" si="13">C94/E94</f>
        <v>2.1983859799918824E-2</v>
      </c>
      <c r="H94" s="75"/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252.5</v>
      </c>
      <c r="P94" s="73">
        <v>115</v>
      </c>
      <c r="Q94" s="73">
        <v>0.8</v>
      </c>
      <c r="R94" s="73">
        <v>0</v>
      </c>
      <c r="S94" s="73">
        <v>0</v>
      </c>
      <c r="T94" s="73">
        <v>0</v>
      </c>
    </row>
    <row r="95" spans="1:20" s="84" customFormat="1" ht="15.75" customHeight="1" x14ac:dyDescent="0.3">
      <c r="A95" s="85">
        <v>2011</v>
      </c>
      <c r="B95" s="71">
        <v>12</v>
      </c>
      <c r="C95" s="72">
        <f t="shared" si="10"/>
        <v>50.82500000000001</v>
      </c>
      <c r="D95" s="72">
        <f t="shared" si="11"/>
        <v>609.90000000000009</v>
      </c>
      <c r="E95" s="76">
        <v>1396.1</v>
      </c>
      <c r="F95" s="73">
        <f t="shared" si="12"/>
        <v>27.468765371372349</v>
      </c>
      <c r="G95" s="74">
        <f t="shared" si="13"/>
        <v>3.6404985316238099E-2</v>
      </c>
      <c r="I95" s="49">
        <v>0</v>
      </c>
      <c r="J95" s="49">
        <v>0</v>
      </c>
      <c r="K95" s="49">
        <v>0</v>
      </c>
      <c r="L95" s="49">
        <v>269.7</v>
      </c>
      <c r="M95" s="49">
        <v>334.5</v>
      </c>
      <c r="N95" s="49">
        <v>4.5</v>
      </c>
      <c r="O95" s="49">
        <v>1.2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84" customFormat="1" ht="15.75" customHeight="1" x14ac:dyDescent="0.3">
      <c r="A96" s="85">
        <v>2012</v>
      </c>
      <c r="B96" s="71">
        <v>12</v>
      </c>
      <c r="C96" s="72">
        <f t="shared" si="10"/>
        <v>41.291666666666664</v>
      </c>
      <c r="D96" s="72">
        <f t="shared" si="11"/>
        <v>495.5</v>
      </c>
      <c r="E96" s="76">
        <v>1396.1</v>
      </c>
      <c r="F96" s="76">
        <f t="shared" si="12"/>
        <v>33.810696266397578</v>
      </c>
      <c r="G96" s="86">
        <f t="shared" si="13"/>
        <v>2.957643912804718E-2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63.9</v>
      </c>
      <c r="O96" s="49">
        <v>421.8</v>
      </c>
      <c r="P96" s="49">
        <v>5.0999999999999996</v>
      </c>
      <c r="Q96" s="49">
        <v>3</v>
      </c>
      <c r="R96" s="49">
        <v>1.7</v>
      </c>
      <c r="S96" s="49">
        <v>0</v>
      </c>
      <c r="T96" s="49">
        <v>0</v>
      </c>
    </row>
    <row r="97" spans="1:20" s="84" customFormat="1" ht="15.75" customHeight="1" x14ac:dyDescent="0.3">
      <c r="A97" s="85">
        <v>2013</v>
      </c>
      <c r="B97" s="71">
        <v>12</v>
      </c>
      <c r="C97" s="72">
        <f t="shared" si="10"/>
        <v>13.683333333333332</v>
      </c>
      <c r="D97" s="72">
        <f t="shared" si="11"/>
        <v>164.2</v>
      </c>
      <c r="E97" s="76">
        <v>1396.1</v>
      </c>
      <c r="F97" s="76">
        <f t="shared" si="12"/>
        <v>102.02923264311815</v>
      </c>
      <c r="G97" s="86">
        <f t="shared" si="13"/>
        <v>9.8011126232600328E-3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150.69999999999999</v>
      </c>
      <c r="P97" s="49">
        <v>13.5</v>
      </c>
      <c r="Q97" s="49">
        <v>0</v>
      </c>
      <c r="R97" s="49">
        <v>0</v>
      </c>
      <c r="S97" s="49">
        <v>0</v>
      </c>
      <c r="T97" s="49">
        <v>0</v>
      </c>
    </row>
    <row r="98" spans="1:20" s="84" customFormat="1" ht="15.75" customHeight="1" x14ac:dyDescent="0.3">
      <c r="A98" s="85">
        <v>2014</v>
      </c>
      <c r="B98" s="71">
        <v>12</v>
      </c>
      <c r="C98" s="72">
        <f t="shared" si="10"/>
        <v>28.246666666666666</v>
      </c>
      <c r="D98" s="72">
        <f t="shared" si="11"/>
        <v>338.96</v>
      </c>
      <c r="E98" s="76">
        <v>1396.1</v>
      </c>
      <c r="F98" s="73">
        <f t="shared" si="12"/>
        <v>49.42530092046259</v>
      </c>
      <c r="G98" s="74">
        <f t="shared" si="13"/>
        <v>2.0232552586968461E-2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157.19999999999999</v>
      </c>
      <c r="O98" s="49">
        <v>180.8</v>
      </c>
      <c r="P98" s="49">
        <v>0.96</v>
      </c>
      <c r="Q98" s="49">
        <v>0</v>
      </c>
      <c r="R98" s="49">
        <v>0</v>
      </c>
      <c r="S98" s="49">
        <v>0</v>
      </c>
      <c r="T98" s="49">
        <v>0</v>
      </c>
    </row>
    <row r="99" spans="1:20" s="84" customFormat="1" ht="15.75" customHeight="1" x14ac:dyDescent="0.3">
      <c r="A99" s="85">
        <v>2015</v>
      </c>
      <c r="B99" s="71">
        <v>12</v>
      </c>
      <c r="C99" s="72">
        <f t="shared" si="10"/>
        <v>22.383333333333336</v>
      </c>
      <c r="D99" s="72">
        <f t="shared" si="11"/>
        <v>268.60000000000002</v>
      </c>
      <c r="E99" s="76">
        <v>1396.1</v>
      </c>
      <c r="F99" s="73">
        <f t="shared" si="12"/>
        <v>62.372300819061792</v>
      </c>
      <c r="G99" s="74">
        <f t="shared" si="13"/>
        <v>1.6032757920874822E-2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256.60000000000002</v>
      </c>
      <c r="P99" s="49">
        <v>8.3000000000000007</v>
      </c>
      <c r="Q99" s="49">
        <v>3.7</v>
      </c>
      <c r="R99" s="49">
        <v>0</v>
      </c>
      <c r="S99" s="49">
        <v>0</v>
      </c>
      <c r="T99" s="49">
        <v>0</v>
      </c>
    </row>
    <row r="100" spans="1:20" s="84" customFormat="1" ht="15.75" customHeight="1" x14ac:dyDescent="0.3">
      <c r="A100" s="85">
        <v>2016</v>
      </c>
      <c r="B100" s="71">
        <v>12</v>
      </c>
      <c r="C100" s="72">
        <f t="shared" si="10"/>
        <v>29.5</v>
      </c>
      <c r="D100" s="72">
        <f t="shared" si="11"/>
        <v>354</v>
      </c>
      <c r="E100" s="76">
        <v>1396.1</v>
      </c>
      <c r="F100" s="76">
        <f t="shared" si="12"/>
        <v>47.325423728813554</v>
      </c>
      <c r="G100" s="86">
        <f t="shared" si="13"/>
        <v>2.1130291526394958E-2</v>
      </c>
      <c r="I100" s="49">
        <v>0</v>
      </c>
      <c r="J100" s="49">
        <v>0</v>
      </c>
      <c r="K100" s="49">
        <v>353.3</v>
      </c>
      <c r="L100" s="49">
        <v>0.7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84" customFormat="1" ht="15.75" customHeight="1" x14ac:dyDescent="0.3">
      <c r="A101" s="85">
        <v>2017</v>
      </c>
      <c r="B101" s="71">
        <v>12</v>
      </c>
      <c r="C101" s="72">
        <f t="shared" si="10"/>
        <v>27.605500000000003</v>
      </c>
      <c r="D101" s="72">
        <f t="shared" si="11"/>
        <v>331.26600000000002</v>
      </c>
      <c r="E101" s="76">
        <v>1396.1</v>
      </c>
      <c r="F101" s="76">
        <f t="shared" si="12"/>
        <v>50.573255329553888</v>
      </c>
      <c r="G101" s="86">
        <f t="shared" si="13"/>
        <v>1.9773297041759189E-2</v>
      </c>
      <c r="I101" s="49">
        <v>0</v>
      </c>
      <c r="J101" s="49">
        <v>0.42799999999999999</v>
      </c>
      <c r="K101" s="49">
        <v>0</v>
      </c>
      <c r="L101" s="49">
        <v>0</v>
      </c>
      <c r="M101" s="49">
        <v>330.83800000000002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84" customFormat="1" ht="15.75" customHeight="1" x14ac:dyDescent="0.3">
      <c r="A102" s="85">
        <v>2018</v>
      </c>
      <c r="B102" s="71">
        <v>12</v>
      </c>
      <c r="C102" s="72">
        <f t="shared" si="10"/>
        <v>20.349999999999998</v>
      </c>
      <c r="D102" s="72">
        <f t="shared" si="11"/>
        <v>244.2</v>
      </c>
      <c r="E102" s="76">
        <v>1396.1</v>
      </c>
      <c r="F102" s="73">
        <f t="shared" si="12"/>
        <v>68.604422604422609</v>
      </c>
      <c r="G102" s="74">
        <f t="shared" si="13"/>
        <v>1.4576319747869063E-2</v>
      </c>
      <c r="I102" s="49">
        <v>0</v>
      </c>
      <c r="J102" s="49">
        <v>0</v>
      </c>
      <c r="K102" s="49">
        <v>0</v>
      </c>
      <c r="L102" s="49">
        <v>0</v>
      </c>
      <c r="M102" s="49">
        <v>88.3</v>
      </c>
      <c r="N102" s="49">
        <v>155.9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84" customFormat="1" ht="15.75" customHeight="1" x14ac:dyDescent="0.3">
      <c r="A103" s="85">
        <v>2019</v>
      </c>
      <c r="B103" s="71">
        <v>12</v>
      </c>
      <c r="C103" s="72">
        <f t="shared" si="10"/>
        <v>23.666666666666668</v>
      </c>
      <c r="D103" s="72">
        <f t="shared" si="11"/>
        <v>284</v>
      </c>
      <c r="E103" s="76">
        <v>1396.1</v>
      </c>
      <c r="F103" s="73">
        <f t="shared" si="12"/>
        <v>58.990140845070414</v>
      </c>
      <c r="G103" s="74">
        <f t="shared" si="13"/>
        <v>1.6951985292362057E-2</v>
      </c>
      <c r="I103" s="49">
        <v>0</v>
      </c>
      <c r="J103" s="49">
        <v>0</v>
      </c>
      <c r="K103" s="49">
        <v>0</v>
      </c>
      <c r="L103" s="49">
        <v>0</v>
      </c>
      <c r="M103" s="49">
        <v>112.9</v>
      </c>
      <c r="N103" s="49">
        <v>171.1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84" customFormat="1" ht="15.75" customHeight="1" x14ac:dyDescent="0.3">
      <c r="A104" s="85">
        <v>2020</v>
      </c>
      <c r="B104" s="71">
        <v>12</v>
      </c>
      <c r="C104" s="72">
        <f t="shared" ref="C104:C109" si="14">D104/B104</f>
        <v>8.3416666666666668</v>
      </c>
      <c r="D104" s="72">
        <f t="shared" si="11"/>
        <v>100.1</v>
      </c>
      <c r="E104" s="76">
        <v>1396.1</v>
      </c>
      <c r="F104" s="76">
        <f t="shared" ref="F104:F109" si="15">E104/C104</f>
        <v>167.36463536463535</v>
      </c>
      <c r="G104" s="86">
        <f t="shared" si="13"/>
        <v>5.9749779146670489E-3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100.1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3">
      <c r="A105" s="85">
        <v>2021</v>
      </c>
      <c r="B105" s="71">
        <v>12</v>
      </c>
      <c r="C105" s="72">
        <f t="shared" si="14"/>
        <v>37.916666666666664</v>
      </c>
      <c r="D105" s="72">
        <f t="shared" ref="D105" si="16">SUM(I105:T105)</f>
        <v>455</v>
      </c>
      <c r="E105" s="76">
        <v>1396.1</v>
      </c>
      <c r="F105" s="76">
        <f t="shared" si="15"/>
        <v>36.82021978021978</v>
      </c>
      <c r="G105" s="86">
        <f t="shared" ref="G105" si="17">C105/E105</f>
        <v>2.7158990521213858E-2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130</v>
      </c>
      <c r="T105" s="49">
        <v>325</v>
      </c>
    </row>
    <row r="106" spans="1:20" ht="15.75" customHeight="1" x14ac:dyDescent="0.3">
      <c r="A106" s="85">
        <v>2022</v>
      </c>
      <c r="B106" s="71">
        <v>12</v>
      </c>
      <c r="C106" s="72">
        <f t="shared" si="14"/>
        <v>4.45</v>
      </c>
      <c r="D106" s="72">
        <f>SUM(I106:T106)</f>
        <v>53.4</v>
      </c>
      <c r="E106" s="76">
        <v>1396.1</v>
      </c>
      <c r="F106" s="76">
        <f t="shared" si="15"/>
        <v>313.73033707865164</v>
      </c>
      <c r="G106" s="86">
        <f>C106/E106</f>
        <v>3.187450755676528E-3</v>
      </c>
      <c r="I106" s="49">
        <v>53.4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ht="15.75" customHeight="1" x14ac:dyDescent="0.3">
      <c r="A107" s="85">
        <v>2023</v>
      </c>
      <c r="B107" s="71">
        <v>12</v>
      </c>
      <c r="C107" s="72">
        <f t="shared" si="14"/>
        <v>22.716666666666669</v>
      </c>
      <c r="D107" s="72">
        <f>SUM(I107:T107)</f>
        <v>272.60000000000002</v>
      </c>
      <c r="E107" s="76">
        <v>1396.1</v>
      </c>
      <c r="F107" s="76">
        <f t="shared" si="15"/>
        <v>61.457079970652963</v>
      </c>
      <c r="G107" s="86">
        <f>C107/E107</f>
        <v>1.6271518277105271E-2</v>
      </c>
      <c r="I107" s="49">
        <v>0</v>
      </c>
      <c r="J107" s="49">
        <v>0</v>
      </c>
      <c r="K107" s="49">
        <v>94.4</v>
      </c>
      <c r="L107" s="49">
        <v>178.2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3">
      <c r="A108" s="85">
        <v>2024</v>
      </c>
      <c r="B108" s="71">
        <v>12</v>
      </c>
      <c r="C108" s="72">
        <f t="shared" si="14"/>
        <v>19.495161290322581</v>
      </c>
      <c r="D108" s="72">
        <f>SUM(I108:T108)</f>
        <v>233.94193548387096</v>
      </c>
      <c r="E108" s="76">
        <v>1396.1</v>
      </c>
      <c r="F108" s="76">
        <f t="shared" si="15"/>
        <v>71.612641681145021</v>
      </c>
      <c r="G108" s="86">
        <f>C108/E108</f>
        <v>1.3964014963342585E-2</v>
      </c>
      <c r="I108" s="49">
        <v>0</v>
      </c>
      <c r="J108" s="49">
        <v>0</v>
      </c>
      <c r="K108" s="49">
        <v>0</v>
      </c>
      <c r="L108" s="49">
        <v>0</v>
      </c>
      <c r="M108" s="17">
        <v>0</v>
      </c>
      <c r="N108" s="17">
        <v>122.2</v>
      </c>
      <c r="O108" s="17">
        <v>111.74193548387096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</row>
    <row r="109" spans="1:20" ht="15.75" customHeight="1" x14ac:dyDescent="0.3">
      <c r="A109" s="16">
        <v>2025</v>
      </c>
      <c r="B109" s="9">
        <v>12</v>
      </c>
      <c r="C109" s="72">
        <f t="shared" si="14"/>
        <v>0</v>
      </c>
      <c r="D109" s="72">
        <f>SUM(I109:T109)</f>
        <v>0</v>
      </c>
      <c r="E109" s="76">
        <v>1396.1</v>
      </c>
      <c r="F109" s="76" t="e">
        <f t="shared" si="15"/>
        <v>#DIV/0!</v>
      </c>
      <c r="G109" s="86">
        <f>C109/E109</f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9"/>
  <sheetViews>
    <sheetView zoomScale="80" zoomScaleNormal="80" workbookViewId="0">
      <pane ySplit="1545" topLeftCell="A73" activePane="bottomLeft"/>
      <selection sqref="A1:XFD1048576"/>
      <selection pane="bottomLeft" activeCell="A109" sqref="A109:XFD109"/>
    </sheetView>
  </sheetViews>
  <sheetFormatPr defaultColWidth="9.109375" defaultRowHeight="15.75" customHeight="1" x14ac:dyDescent="0.3"/>
  <cols>
    <col min="1" max="1" width="9.109375" style="82"/>
    <col min="2" max="2" width="9.109375" style="82" customWidth="1"/>
    <col min="3" max="4" width="9.109375" style="87" customWidth="1"/>
    <col min="5" max="5" width="10.44140625" style="88" customWidth="1"/>
    <col min="6" max="6" width="9.109375" style="88" customWidth="1"/>
    <col min="7" max="7" width="9.109375" style="89" customWidth="1"/>
    <col min="8" max="8" width="9.109375" style="82" customWidth="1"/>
    <col min="9" max="9" width="10" style="88" customWidth="1"/>
    <col min="10" max="10" width="11.6640625" style="88" customWidth="1"/>
    <col min="11" max="16" width="9.109375" style="88"/>
    <col min="17" max="17" width="13.5546875" style="88" customWidth="1"/>
    <col min="18" max="18" width="9.109375" style="88"/>
    <col min="19" max="19" width="11" style="88" customWidth="1"/>
    <col min="20" max="20" width="12" style="88" customWidth="1"/>
    <col min="21" max="16384" width="9.109375" style="82"/>
  </cols>
  <sheetData>
    <row r="1" spans="1:20" ht="15" customHeight="1" x14ac:dyDescent="0.3">
      <c r="A1" s="132" t="s">
        <v>32</v>
      </c>
      <c r="B1" s="132"/>
      <c r="C1" s="132"/>
      <c r="D1" s="132"/>
      <c r="E1" s="132"/>
      <c r="F1" s="132"/>
      <c r="G1" s="132"/>
      <c r="H1" s="69"/>
      <c r="I1" s="131" t="s">
        <v>14</v>
      </c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s="83" customFormat="1" ht="60.6" x14ac:dyDescent="0.3">
      <c r="A2" s="42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70"/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28</v>
      </c>
    </row>
    <row r="3" spans="1:20" s="84" customFormat="1" ht="15.75" customHeight="1" x14ac:dyDescent="0.3">
      <c r="A3" s="71">
        <v>1919</v>
      </c>
      <c r="B3" s="71">
        <v>12</v>
      </c>
      <c r="C3" s="72">
        <f>D3/B3</f>
        <v>38.946236559139784</v>
      </c>
      <c r="D3" s="72">
        <f>SUM(I3:T3)</f>
        <v>467.35483870967744</v>
      </c>
      <c r="E3" s="73">
        <v>4118.6000000000004</v>
      </c>
      <c r="F3" s="73">
        <f>E3/C3</f>
        <v>105.75091109884043</v>
      </c>
      <c r="G3" s="74">
        <f>C3/E3</f>
        <v>9.456183304797694E-3</v>
      </c>
      <c r="H3" s="75"/>
      <c r="I3" s="76"/>
      <c r="J3" s="76"/>
      <c r="K3" s="76"/>
      <c r="L3" s="76"/>
      <c r="M3" s="76"/>
      <c r="N3" s="76"/>
      <c r="O3" s="76">
        <v>79.741935483870961</v>
      </c>
      <c r="P3" s="76">
        <v>103</v>
      </c>
      <c r="Q3" s="76">
        <v>101</v>
      </c>
      <c r="R3" s="76">
        <v>87.612903225806448</v>
      </c>
      <c r="S3" s="76">
        <v>48</v>
      </c>
      <c r="T3" s="76">
        <v>48</v>
      </c>
    </row>
    <row r="4" spans="1:20" s="84" customFormat="1" ht="15.75" customHeight="1" x14ac:dyDescent="0.3">
      <c r="A4" s="71">
        <v>1920</v>
      </c>
      <c r="B4" s="71">
        <v>12</v>
      </c>
      <c r="C4" s="72">
        <f t="shared" ref="C4:C67" si="0">D4/B4</f>
        <v>57.121418860462235</v>
      </c>
      <c r="D4" s="72">
        <f t="shared" ref="D4:D67" si="1">SUM(I4:T4)</f>
        <v>685.45702632554685</v>
      </c>
      <c r="E4" s="73">
        <v>4118.6000000000004</v>
      </c>
      <c r="F4" s="73">
        <f t="shared" ref="F4:F67" si="2">E4/C4</f>
        <v>72.102550709761417</v>
      </c>
      <c r="G4" s="74">
        <f t="shared" ref="G4:G67" si="3">C4/E4</f>
        <v>1.3869134866328906E-2</v>
      </c>
      <c r="H4" s="75"/>
      <c r="I4" s="76">
        <v>48</v>
      </c>
      <c r="J4" s="76">
        <v>43.517241379310342</v>
      </c>
      <c r="K4" s="76">
        <v>38</v>
      </c>
      <c r="L4" s="76">
        <v>38</v>
      </c>
      <c r="M4" s="76">
        <v>22.06451612903226</v>
      </c>
      <c r="N4" s="76">
        <v>0</v>
      </c>
      <c r="O4" s="76">
        <v>76.2</v>
      </c>
      <c r="P4" s="76">
        <v>130.74193548387098</v>
      </c>
      <c r="Q4" s="76">
        <v>5.5</v>
      </c>
      <c r="R4" s="76">
        <v>2</v>
      </c>
      <c r="S4" s="76">
        <v>125.43333333333334</v>
      </c>
      <c r="T4" s="76">
        <v>156</v>
      </c>
    </row>
    <row r="5" spans="1:20" s="84" customFormat="1" ht="15.75" customHeight="1" x14ac:dyDescent="0.3">
      <c r="A5" s="71">
        <v>1921</v>
      </c>
      <c r="B5" s="71">
        <v>12</v>
      </c>
      <c r="C5" s="72">
        <f t="shared" si="0"/>
        <v>42.997939068100358</v>
      </c>
      <c r="D5" s="72">
        <f t="shared" si="1"/>
        <v>515.97526881720432</v>
      </c>
      <c r="E5" s="73">
        <v>4118.6000000000004</v>
      </c>
      <c r="F5" s="73">
        <f t="shared" si="2"/>
        <v>95.78598624173452</v>
      </c>
      <c r="G5" s="74">
        <f t="shared" si="3"/>
        <v>1.0439940530301645E-2</v>
      </c>
      <c r="H5" s="75"/>
      <c r="I5" s="76">
        <v>0</v>
      </c>
      <c r="J5" s="76">
        <v>0</v>
      </c>
      <c r="K5" s="76">
        <v>0</v>
      </c>
      <c r="L5" s="76">
        <v>0</v>
      </c>
      <c r="M5" s="76">
        <v>0</v>
      </c>
      <c r="N5" s="76">
        <v>0</v>
      </c>
      <c r="O5" s="76">
        <v>41.1</v>
      </c>
      <c r="P5" s="76">
        <v>83.741935483870961</v>
      </c>
      <c r="Q5" s="76">
        <v>145.80000000000001</v>
      </c>
      <c r="R5" s="76">
        <v>143.30000000000001</v>
      </c>
      <c r="S5" s="76">
        <v>73.733333333333334</v>
      </c>
      <c r="T5" s="76">
        <v>28.3</v>
      </c>
    </row>
    <row r="6" spans="1:20" s="84" customFormat="1" ht="15.75" customHeight="1" x14ac:dyDescent="0.3">
      <c r="A6" s="71">
        <v>1922</v>
      </c>
      <c r="B6" s="71">
        <v>12</v>
      </c>
      <c r="C6" s="72">
        <f t="shared" si="0"/>
        <v>73.572401433691766</v>
      </c>
      <c r="D6" s="72">
        <f t="shared" si="1"/>
        <v>882.86881720430119</v>
      </c>
      <c r="E6" s="73">
        <v>4118.6000000000004</v>
      </c>
      <c r="F6" s="73">
        <f t="shared" si="2"/>
        <v>55.980230626452375</v>
      </c>
      <c r="G6" s="74">
        <f t="shared" si="3"/>
        <v>1.7863449092820803E-2</v>
      </c>
      <c r="H6" s="75"/>
      <c r="I6" s="76">
        <v>28.3</v>
      </c>
      <c r="J6" s="76">
        <v>28.3</v>
      </c>
      <c r="K6" s="76">
        <v>43.1</v>
      </c>
      <c r="L6" s="76">
        <v>51.8</v>
      </c>
      <c r="M6" s="76">
        <v>51.806451612903224</v>
      </c>
      <c r="N6" s="76">
        <v>56.2</v>
      </c>
      <c r="O6" s="76">
        <v>117.41935483870968</v>
      </c>
      <c r="P6" s="76">
        <v>145</v>
      </c>
      <c r="Q6" s="76">
        <v>103.23333333333333</v>
      </c>
      <c r="R6" s="76">
        <v>97.709677419354833</v>
      </c>
      <c r="S6" s="76">
        <v>90</v>
      </c>
      <c r="T6" s="76">
        <v>70</v>
      </c>
    </row>
    <row r="7" spans="1:20" s="84" customFormat="1" ht="15.75" customHeight="1" x14ac:dyDescent="0.3">
      <c r="A7" s="71">
        <v>1923</v>
      </c>
      <c r="B7" s="71">
        <v>12</v>
      </c>
      <c r="C7" s="72">
        <f t="shared" si="0"/>
        <v>85.736111111111128</v>
      </c>
      <c r="D7" s="72">
        <f t="shared" si="1"/>
        <v>1028.8333333333335</v>
      </c>
      <c r="E7" s="73">
        <v>4118.6000000000004</v>
      </c>
      <c r="F7" s="73">
        <f t="shared" si="2"/>
        <v>48.03810140936335</v>
      </c>
      <c r="G7" s="74">
        <f t="shared" si="3"/>
        <v>2.0816809379670547E-2</v>
      </c>
      <c r="H7" s="75"/>
      <c r="I7" s="76">
        <v>77</v>
      </c>
      <c r="J7" s="76">
        <v>77</v>
      </c>
      <c r="K7" s="76">
        <v>77</v>
      </c>
      <c r="L7" s="76">
        <v>76.13333333333334</v>
      </c>
      <c r="M7" s="76">
        <v>88.7</v>
      </c>
      <c r="N7" s="76">
        <v>92.9</v>
      </c>
      <c r="O7" s="76">
        <v>52.6</v>
      </c>
      <c r="P7" s="76">
        <v>31</v>
      </c>
      <c r="Q7" s="76">
        <v>78.5</v>
      </c>
      <c r="R7" s="76">
        <v>126</v>
      </c>
      <c r="S7" s="76">
        <v>126</v>
      </c>
      <c r="T7" s="76">
        <v>126</v>
      </c>
    </row>
    <row r="8" spans="1:20" s="84" customFormat="1" ht="15.75" customHeight="1" x14ac:dyDescent="0.3">
      <c r="A8" s="71">
        <v>1924</v>
      </c>
      <c r="B8" s="71">
        <v>12</v>
      </c>
      <c r="C8" s="72">
        <f t="shared" si="0"/>
        <v>64</v>
      </c>
      <c r="D8" s="72">
        <f t="shared" si="1"/>
        <v>768</v>
      </c>
      <c r="E8" s="73">
        <v>4118.6000000000004</v>
      </c>
      <c r="F8" s="73">
        <f t="shared" si="2"/>
        <v>64.353125000000006</v>
      </c>
      <c r="G8" s="74">
        <f t="shared" si="3"/>
        <v>1.5539260913902781E-2</v>
      </c>
      <c r="H8" s="75"/>
      <c r="I8" s="76">
        <v>126</v>
      </c>
      <c r="J8" s="76">
        <v>126</v>
      </c>
      <c r="K8" s="76">
        <v>126</v>
      </c>
      <c r="L8" s="76">
        <v>126</v>
      </c>
      <c r="M8" s="76">
        <v>126</v>
      </c>
      <c r="N8" s="76">
        <v>138</v>
      </c>
      <c r="O8" s="76"/>
      <c r="P8" s="76"/>
      <c r="Q8" s="76"/>
      <c r="R8" s="76"/>
      <c r="S8" s="76"/>
      <c r="T8" s="76"/>
    </row>
    <row r="9" spans="1:20" s="84" customFormat="1" ht="15.75" customHeight="1" x14ac:dyDescent="0.3">
      <c r="A9" s="71">
        <v>1925</v>
      </c>
      <c r="B9" s="71">
        <v>12</v>
      </c>
      <c r="C9" s="72">
        <f t="shared" si="0"/>
        <v>102.8010752688172</v>
      </c>
      <c r="D9" s="72">
        <f t="shared" si="1"/>
        <v>1233.6129032258063</v>
      </c>
      <c r="E9" s="73">
        <v>4118.6000000000004</v>
      </c>
      <c r="F9" s="73">
        <f t="shared" si="2"/>
        <v>40.063783274933321</v>
      </c>
      <c r="G9" s="74">
        <f t="shared" si="3"/>
        <v>2.4960198919248576E-2</v>
      </c>
      <c r="H9" s="75"/>
      <c r="I9" s="76"/>
      <c r="J9" s="76"/>
      <c r="K9" s="76"/>
      <c r="L9" s="76"/>
      <c r="M9" s="76"/>
      <c r="N9" s="76"/>
      <c r="O9" s="76">
        <v>231</v>
      </c>
      <c r="P9" s="76">
        <v>202.61290322580646</v>
      </c>
      <c r="Q9" s="76">
        <v>200</v>
      </c>
      <c r="R9" s="76">
        <v>200</v>
      </c>
      <c r="S9" s="76">
        <v>200</v>
      </c>
      <c r="T9" s="76">
        <v>200</v>
      </c>
    </row>
    <row r="10" spans="1:20" s="84" customFormat="1" ht="15.75" customHeight="1" x14ac:dyDescent="0.3">
      <c r="A10" s="71">
        <v>1926</v>
      </c>
      <c r="B10" s="71">
        <v>12</v>
      </c>
      <c r="C10" s="72">
        <f t="shared" si="0"/>
        <v>176.57204301075271</v>
      </c>
      <c r="D10" s="72">
        <f t="shared" si="1"/>
        <v>2118.8645161290324</v>
      </c>
      <c r="E10" s="73">
        <v>4118.6000000000004</v>
      </c>
      <c r="F10" s="73">
        <f t="shared" si="2"/>
        <v>23.325323362482642</v>
      </c>
      <c r="G10" s="74">
        <f t="shared" si="3"/>
        <v>4.2871860100702347E-2</v>
      </c>
      <c r="H10" s="75"/>
      <c r="I10" s="76">
        <v>220</v>
      </c>
      <c r="J10" s="76">
        <v>220</v>
      </c>
      <c r="K10" s="76">
        <v>220</v>
      </c>
      <c r="L10" s="76">
        <v>220</v>
      </c>
      <c r="M10" s="76">
        <v>198.06451612903226</v>
      </c>
      <c r="N10" s="76">
        <v>152</v>
      </c>
      <c r="O10" s="76">
        <v>146</v>
      </c>
      <c r="P10" s="76">
        <v>146</v>
      </c>
      <c r="Q10" s="76">
        <v>146.80000000000001</v>
      </c>
      <c r="R10" s="76">
        <v>150</v>
      </c>
      <c r="S10" s="76">
        <v>150</v>
      </c>
      <c r="T10" s="76">
        <v>150</v>
      </c>
    </row>
    <row r="11" spans="1:20" s="84" customFormat="1" ht="15.75" customHeight="1" x14ac:dyDescent="0.3">
      <c r="A11" s="71">
        <v>1927</v>
      </c>
      <c r="B11" s="71">
        <v>12</v>
      </c>
      <c r="C11" s="72">
        <f t="shared" si="0"/>
        <v>123.31747311827958</v>
      </c>
      <c r="D11" s="72">
        <f t="shared" si="1"/>
        <v>1479.809677419355</v>
      </c>
      <c r="E11" s="73">
        <v>4118.6000000000004</v>
      </c>
      <c r="F11" s="73">
        <f t="shared" si="2"/>
        <v>33.398348959434628</v>
      </c>
      <c r="G11" s="74">
        <f t="shared" si="3"/>
        <v>2.9941599844189669E-2</v>
      </c>
      <c r="H11" s="75"/>
      <c r="I11" s="76">
        <v>105</v>
      </c>
      <c r="J11" s="76">
        <v>105</v>
      </c>
      <c r="K11" s="76">
        <v>105</v>
      </c>
      <c r="L11" s="76">
        <v>105</v>
      </c>
      <c r="M11" s="76">
        <v>123.2</v>
      </c>
      <c r="N11" s="76">
        <v>114.9</v>
      </c>
      <c r="O11" s="76">
        <v>136.70967741935485</v>
      </c>
      <c r="P11" s="76">
        <v>137</v>
      </c>
      <c r="Q11" s="76">
        <v>137</v>
      </c>
      <c r="R11" s="76">
        <v>137</v>
      </c>
      <c r="S11" s="76">
        <v>137</v>
      </c>
      <c r="T11" s="76">
        <v>137</v>
      </c>
    </row>
    <row r="12" spans="1:20" s="84" customFormat="1" ht="15.75" customHeight="1" x14ac:dyDescent="0.3">
      <c r="A12" s="71">
        <v>1928</v>
      </c>
      <c r="B12" s="71">
        <v>12</v>
      </c>
      <c r="C12" s="72">
        <f t="shared" si="0"/>
        <v>186.26137992831545</v>
      </c>
      <c r="D12" s="72">
        <f t="shared" si="1"/>
        <v>2235.1365591397853</v>
      </c>
      <c r="E12" s="73">
        <v>4118.6000000000004</v>
      </c>
      <c r="F12" s="73">
        <f t="shared" si="2"/>
        <v>22.111937544890328</v>
      </c>
      <c r="G12" s="74">
        <f t="shared" si="3"/>
        <v>4.5224440326401064E-2</v>
      </c>
      <c r="H12" s="75"/>
      <c r="I12" s="76">
        <v>203.4</v>
      </c>
      <c r="J12" s="76">
        <v>208</v>
      </c>
      <c r="K12" s="76">
        <v>208</v>
      </c>
      <c r="L12" s="76">
        <v>208.53333333333333</v>
      </c>
      <c r="M12" s="76">
        <v>197.3</v>
      </c>
      <c r="N12" s="76">
        <v>179</v>
      </c>
      <c r="O12" s="76">
        <v>179</v>
      </c>
      <c r="P12" s="76">
        <v>179</v>
      </c>
      <c r="Q12" s="76">
        <v>179</v>
      </c>
      <c r="R12" s="76">
        <v>177.90322580645162</v>
      </c>
      <c r="S12" s="76">
        <v>159</v>
      </c>
      <c r="T12" s="76">
        <v>157</v>
      </c>
    </row>
    <row r="13" spans="1:20" s="84" customFormat="1" ht="15.75" customHeight="1" x14ac:dyDescent="0.3">
      <c r="A13" s="71">
        <v>1929</v>
      </c>
      <c r="B13" s="71">
        <v>12</v>
      </c>
      <c r="C13" s="72">
        <f t="shared" si="0"/>
        <v>155.39229390681007</v>
      </c>
      <c r="D13" s="72">
        <f t="shared" si="1"/>
        <v>1864.7075268817207</v>
      </c>
      <c r="E13" s="73">
        <v>4118.6000000000004</v>
      </c>
      <c r="F13" s="73">
        <f t="shared" si="2"/>
        <v>26.504531830065883</v>
      </c>
      <c r="G13" s="74">
        <f t="shared" si="3"/>
        <v>3.7729396859809174E-2</v>
      </c>
      <c r="H13" s="75"/>
      <c r="I13" s="76">
        <v>157</v>
      </c>
      <c r="J13" s="76">
        <v>157</v>
      </c>
      <c r="K13" s="76">
        <v>225.93548387096774</v>
      </c>
      <c r="L13" s="76">
        <v>164.2</v>
      </c>
      <c r="M13" s="76">
        <v>123.1</v>
      </c>
      <c r="N13" s="76">
        <v>114</v>
      </c>
      <c r="O13" s="76">
        <v>131</v>
      </c>
      <c r="P13" s="76">
        <v>155.83870967741936</v>
      </c>
      <c r="Q13" s="76">
        <v>161</v>
      </c>
      <c r="R13" s="76">
        <v>161</v>
      </c>
      <c r="S13" s="76">
        <v>140.63333333333333</v>
      </c>
      <c r="T13" s="76">
        <v>174</v>
      </c>
    </row>
    <row r="14" spans="1:20" s="84" customFormat="1" ht="15.75" customHeight="1" x14ac:dyDescent="0.3">
      <c r="A14" s="71">
        <v>1930</v>
      </c>
      <c r="B14" s="71">
        <v>12</v>
      </c>
      <c r="C14" s="72">
        <f t="shared" si="0"/>
        <v>153.73333333333332</v>
      </c>
      <c r="D14" s="72">
        <f t="shared" si="1"/>
        <v>1844.8</v>
      </c>
      <c r="E14" s="73">
        <v>4118.6000000000004</v>
      </c>
      <c r="F14" s="73">
        <f t="shared" si="2"/>
        <v>26.790546400693845</v>
      </c>
      <c r="G14" s="74">
        <f t="shared" si="3"/>
        <v>3.7326599653603972E-2</v>
      </c>
      <c r="H14" s="75"/>
      <c r="I14" s="76">
        <v>174</v>
      </c>
      <c r="J14" s="76">
        <v>159</v>
      </c>
      <c r="K14" s="76">
        <v>154</v>
      </c>
      <c r="L14" s="76">
        <v>154</v>
      </c>
      <c r="M14" s="76">
        <v>153.69999999999999</v>
      </c>
      <c r="N14" s="76">
        <v>153</v>
      </c>
      <c r="O14" s="76">
        <v>153</v>
      </c>
      <c r="P14" s="76">
        <v>153</v>
      </c>
      <c r="Q14" s="76">
        <v>153</v>
      </c>
      <c r="R14" s="76">
        <v>153</v>
      </c>
      <c r="S14" s="76">
        <v>109.3</v>
      </c>
      <c r="T14" s="76">
        <v>175.8</v>
      </c>
    </row>
    <row r="15" spans="1:20" s="84" customFormat="1" ht="15.75" customHeight="1" x14ac:dyDescent="0.3">
      <c r="A15" s="71">
        <v>1931</v>
      </c>
      <c r="B15" s="71">
        <v>12</v>
      </c>
      <c r="C15" s="72">
        <f t="shared" si="0"/>
        <v>154.94444444444446</v>
      </c>
      <c r="D15" s="72">
        <f t="shared" si="1"/>
        <v>1859.3333333333335</v>
      </c>
      <c r="E15" s="73">
        <v>4118.6000000000004</v>
      </c>
      <c r="F15" s="73">
        <f t="shared" si="2"/>
        <v>26.581140193617784</v>
      </c>
      <c r="G15" s="74">
        <f t="shared" si="3"/>
        <v>3.7620658584092762E-2</v>
      </c>
      <c r="H15" s="75"/>
      <c r="I15" s="76">
        <v>165.5</v>
      </c>
      <c r="J15" s="76">
        <v>158</v>
      </c>
      <c r="K15" s="76">
        <v>158</v>
      </c>
      <c r="L15" s="76">
        <v>158</v>
      </c>
      <c r="M15" s="76">
        <v>128.1</v>
      </c>
      <c r="N15" s="76">
        <v>155.73333333333332</v>
      </c>
      <c r="O15" s="76">
        <v>156</v>
      </c>
      <c r="P15" s="76">
        <v>156</v>
      </c>
      <c r="Q15" s="76">
        <v>156</v>
      </c>
      <c r="R15" s="76">
        <v>156</v>
      </c>
      <c r="S15" s="76">
        <v>156</v>
      </c>
      <c r="T15" s="76">
        <v>156</v>
      </c>
    </row>
    <row r="16" spans="1:20" s="84" customFormat="1" ht="15.75" customHeight="1" x14ac:dyDescent="0.3">
      <c r="A16" s="71">
        <v>1932</v>
      </c>
      <c r="B16" s="71">
        <v>12</v>
      </c>
      <c r="C16" s="72">
        <f t="shared" si="0"/>
        <v>159.99193548387098</v>
      </c>
      <c r="D16" s="72">
        <f t="shared" si="1"/>
        <v>1919.9032258064517</v>
      </c>
      <c r="E16" s="73">
        <v>4118.6000000000004</v>
      </c>
      <c r="F16" s="73">
        <f t="shared" si="2"/>
        <v>25.742547507434853</v>
      </c>
      <c r="G16" s="74">
        <f t="shared" si="3"/>
        <v>3.8846194212565181E-2</v>
      </c>
      <c r="H16" s="75"/>
      <c r="I16" s="76">
        <v>156</v>
      </c>
      <c r="J16" s="76">
        <v>156</v>
      </c>
      <c r="K16" s="76">
        <v>180.7741935483871</v>
      </c>
      <c r="L16" s="76">
        <v>174</v>
      </c>
      <c r="M16" s="76">
        <v>154.12903225806451</v>
      </c>
      <c r="N16" s="76">
        <v>157</v>
      </c>
      <c r="O16" s="76">
        <v>157</v>
      </c>
      <c r="P16" s="76">
        <v>157</v>
      </c>
      <c r="Q16" s="76">
        <v>157</v>
      </c>
      <c r="R16" s="76">
        <v>157</v>
      </c>
      <c r="S16" s="76">
        <v>157</v>
      </c>
      <c r="T16" s="76">
        <v>157</v>
      </c>
    </row>
    <row r="17" spans="1:20" s="84" customFormat="1" ht="15.75" customHeight="1" x14ac:dyDescent="0.3">
      <c r="A17" s="71">
        <v>1933</v>
      </c>
      <c r="B17" s="71">
        <v>12</v>
      </c>
      <c r="C17" s="72">
        <f t="shared" si="0"/>
        <v>156.95000000000002</v>
      </c>
      <c r="D17" s="72">
        <f t="shared" si="1"/>
        <v>1883.4</v>
      </c>
      <c r="E17" s="73">
        <v>4118.6000000000004</v>
      </c>
      <c r="F17" s="73">
        <f t="shared" si="2"/>
        <v>26.241478177763618</v>
      </c>
      <c r="G17" s="74">
        <f t="shared" si="3"/>
        <v>3.8107609381828778E-2</v>
      </c>
      <c r="H17" s="75"/>
      <c r="I17" s="76">
        <v>157</v>
      </c>
      <c r="J17" s="76">
        <v>157</v>
      </c>
      <c r="K17" s="76">
        <v>157</v>
      </c>
      <c r="L17" s="76">
        <v>157</v>
      </c>
      <c r="M17" s="76">
        <v>157</v>
      </c>
      <c r="N17" s="76">
        <v>156.4</v>
      </c>
      <c r="O17" s="76">
        <v>157</v>
      </c>
      <c r="P17" s="76">
        <v>157</v>
      </c>
      <c r="Q17" s="76">
        <v>157</v>
      </c>
      <c r="R17" s="76">
        <v>157</v>
      </c>
      <c r="S17" s="76">
        <v>157</v>
      </c>
      <c r="T17" s="76">
        <v>157</v>
      </c>
    </row>
    <row r="18" spans="1:20" s="84" customFormat="1" ht="15.75" customHeight="1" x14ac:dyDescent="0.3">
      <c r="A18" s="71">
        <v>1934</v>
      </c>
      <c r="B18" s="71">
        <v>12</v>
      </c>
      <c r="C18" s="72">
        <f t="shared" si="0"/>
        <v>155.86666666666667</v>
      </c>
      <c r="D18" s="72">
        <f t="shared" si="1"/>
        <v>1870.4</v>
      </c>
      <c r="E18" s="73">
        <v>4118.6000000000004</v>
      </c>
      <c r="F18" s="73">
        <f t="shared" si="2"/>
        <v>26.42386655260907</v>
      </c>
      <c r="G18" s="74">
        <f t="shared" si="3"/>
        <v>3.7844575017400732E-2</v>
      </c>
      <c r="H18" s="75"/>
      <c r="I18" s="76">
        <v>157</v>
      </c>
      <c r="J18" s="76">
        <v>157</v>
      </c>
      <c r="K18" s="76">
        <v>157</v>
      </c>
      <c r="L18" s="76">
        <v>157</v>
      </c>
      <c r="M18" s="76">
        <v>157</v>
      </c>
      <c r="N18" s="76">
        <v>157</v>
      </c>
      <c r="O18" s="76">
        <v>156</v>
      </c>
      <c r="P18" s="76">
        <v>156</v>
      </c>
      <c r="Q18" s="76">
        <v>156</v>
      </c>
      <c r="R18" s="76">
        <v>156</v>
      </c>
      <c r="S18" s="76">
        <v>148.4</v>
      </c>
      <c r="T18" s="76">
        <v>156</v>
      </c>
    </row>
    <row r="19" spans="1:20" s="84" customFormat="1" ht="15.75" customHeight="1" x14ac:dyDescent="0.3">
      <c r="A19" s="71">
        <v>1935</v>
      </c>
      <c r="B19" s="71">
        <v>12</v>
      </c>
      <c r="C19" s="72">
        <f t="shared" si="0"/>
        <v>166.19166666666666</v>
      </c>
      <c r="D19" s="72">
        <f t="shared" si="1"/>
        <v>1994.3</v>
      </c>
      <c r="E19" s="73">
        <v>4118.6000000000004</v>
      </c>
      <c r="F19" s="73">
        <f t="shared" si="2"/>
        <v>24.782229353657929</v>
      </c>
      <c r="G19" s="74">
        <f t="shared" si="3"/>
        <v>4.035149484452645E-2</v>
      </c>
      <c r="H19" s="75"/>
      <c r="I19" s="76">
        <v>185</v>
      </c>
      <c r="J19" s="76">
        <v>185</v>
      </c>
      <c r="K19" s="76">
        <v>185</v>
      </c>
      <c r="L19" s="76">
        <v>185</v>
      </c>
      <c r="M19" s="76">
        <v>169</v>
      </c>
      <c r="N19" s="76">
        <v>155.30000000000001</v>
      </c>
      <c r="O19" s="76">
        <v>155</v>
      </c>
      <c r="P19" s="76">
        <v>155</v>
      </c>
      <c r="Q19" s="76">
        <v>155</v>
      </c>
      <c r="R19" s="76">
        <v>155</v>
      </c>
      <c r="S19" s="76">
        <v>155</v>
      </c>
      <c r="T19" s="76">
        <v>155</v>
      </c>
    </row>
    <row r="20" spans="1:20" s="84" customFormat="1" ht="15.75" customHeight="1" x14ac:dyDescent="0.3">
      <c r="A20" s="71">
        <v>1936</v>
      </c>
      <c r="B20" s="71">
        <v>12</v>
      </c>
      <c r="C20" s="72">
        <f t="shared" si="0"/>
        <v>156.9760752688172</v>
      </c>
      <c r="D20" s="72">
        <f t="shared" si="1"/>
        <v>1883.7129032258063</v>
      </c>
      <c r="E20" s="73">
        <v>4118.6000000000004</v>
      </c>
      <c r="F20" s="73">
        <f t="shared" si="2"/>
        <v>26.237119210344709</v>
      </c>
      <c r="G20" s="74">
        <f t="shared" si="3"/>
        <v>3.8113940481915499E-2</v>
      </c>
      <c r="H20" s="75"/>
      <c r="I20" s="76">
        <v>154.61290322580646</v>
      </c>
      <c r="J20" s="76">
        <v>154</v>
      </c>
      <c r="K20" s="76">
        <v>185</v>
      </c>
      <c r="L20" s="76">
        <v>171.5</v>
      </c>
      <c r="M20" s="76">
        <v>154</v>
      </c>
      <c r="N20" s="76">
        <v>154</v>
      </c>
      <c r="O20" s="76">
        <v>154</v>
      </c>
      <c r="P20" s="76">
        <v>154</v>
      </c>
      <c r="Q20" s="76">
        <v>152.6</v>
      </c>
      <c r="R20" s="76">
        <v>152</v>
      </c>
      <c r="S20" s="76">
        <v>152</v>
      </c>
      <c r="T20" s="76">
        <v>146</v>
      </c>
    </row>
    <row r="21" spans="1:20" s="84" customFormat="1" ht="15.75" customHeight="1" x14ac:dyDescent="0.3">
      <c r="A21" s="71">
        <v>1937</v>
      </c>
      <c r="B21" s="71">
        <v>12</v>
      </c>
      <c r="C21" s="72">
        <f t="shared" si="0"/>
        <v>150.32715053763442</v>
      </c>
      <c r="D21" s="72">
        <f t="shared" si="1"/>
        <v>1803.925806451613</v>
      </c>
      <c r="E21" s="73">
        <v>4118.6000000000004</v>
      </c>
      <c r="F21" s="73">
        <f t="shared" si="2"/>
        <v>27.397579115084127</v>
      </c>
      <c r="G21" s="74">
        <f t="shared" si="3"/>
        <v>3.6499575228872531E-2</v>
      </c>
      <c r="H21" s="75"/>
      <c r="I21" s="76">
        <v>146</v>
      </c>
      <c r="J21" s="76">
        <v>146</v>
      </c>
      <c r="K21" s="76">
        <v>145.2258064516129</v>
      </c>
      <c r="L21" s="76">
        <v>155.9</v>
      </c>
      <c r="M21" s="76">
        <v>155.1</v>
      </c>
      <c r="N21" s="76">
        <v>143</v>
      </c>
      <c r="O21" s="76">
        <v>143</v>
      </c>
      <c r="P21" s="76">
        <v>152.19999999999999</v>
      </c>
      <c r="Q21" s="76">
        <v>156</v>
      </c>
      <c r="R21" s="76">
        <v>156</v>
      </c>
      <c r="S21" s="76">
        <v>149.5</v>
      </c>
      <c r="T21" s="76">
        <v>156</v>
      </c>
    </row>
    <row r="22" spans="1:20" s="84" customFormat="1" ht="15.75" customHeight="1" x14ac:dyDescent="0.3">
      <c r="A22" s="71">
        <v>1938</v>
      </c>
      <c r="B22" s="71">
        <v>12</v>
      </c>
      <c r="C22" s="72">
        <f t="shared" si="0"/>
        <v>153.9111111111111</v>
      </c>
      <c r="D22" s="72">
        <f t="shared" si="1"/>
        <v>1846.9333333333332</v>
      </c>
      <c r="E22" s="73">
        <v>4118.6000000000004</v>
      </c>
      <c r="F22" s="73">
        <f t="shared" si="2"/>
        <v>26.759601501588222</v>
      </c>
      <c r="G22" s="74">
        <f t="shared" si="3"/>
        <v>3.7369764267253698E-2</v>
      </c>
      <c r="H22" s="75"/>
      <c r="I22" s="76">
        <v>156</v>
      </c>
      <c r="J22" s="76">
        <v>156</v>
      </c>
      <c r="K22" s="76">
        <v>156</v>
      </c>
      <c r="L22" s="76">
        <v>156</v>
      </c>
      <c r="M22" s="76">
        <v>156</v>
      </c>
      <c r="N22" s="76">
        <v>156</v>
      </c>
      <c r="O22" s="76">
        <v>160</v>
      </c>
      <c r="P22" s="76">
        <v>160</v>
      </c>
      <c r="Q22" s="76">
        <v>160</v>
      </c>
      <c r="R22" s="76">
        <v>159.5</v>
      </c>
      <c r="S22" s="76">
        <v>134.13333333333333</v>
      </c>
      <c r="T22" s="76">
        <v>137.30000000000001</v>
      </c>
    </row>
    <row r="23" spans="1:20" s="84" customFormat="1" ht="15.75" customHeight="1" x14ac:dyDescent="0.3">
      <c r="A23" s="71">
        <v>1939</v>
      </c>
      <c r="B23" s="71">
        <v>12</v>
      </c>
      <c r="C23" s="72">
        <f t="shared" si="0"/>
        <v>150.28154121863801</v>
      </c>
      <c r="D23" s="72">
        <f t="shared" si="1"/>
        <v>1803.378494623656</v>
      </c>
      <c r="E23" s="73">
        <v>4118.6000000000004</v>
      </c>
      <c r="F23" s="73">
        <f t="shared" si="2"/>
        <v>27.405894074562557</v>
      </c>
      <c r="G23" s="74">
        <f t="shared" si="3"/>
        <v>3.6488501242810181E-2</v>
      </c>
      <c r="H23" s="75"/>
      <c r="I23" s="76">
        <v>149</v>
      </c>
      <c r="J23" s="76">
        <v>149</v>
      </c>
      <c r="K23" s="76">
        <v>137.38709677419354</v>
      </c>
      <c r="L23" s="76">
        <v>140.33333333333334</v>
      </c>
      <c r="M23" s="76">
        <v>140.03225806451613</v>
      </c>
      <c r="N23" s="76">
        <v>140</v>
      </c>
      <c r="O23" s="76">
        <v>141.2258064516129</v>
      </c>
      <c r="P23" s="76">
        <v>171</v>
      </c>
      <c r="Q23" s="76">
        <v>171</v>
      </c>
      <c r="R23" s="76">
        <v>171</v>
      </c>
      <c r="S23" s="76">
        <v>155.19999999999999</v>
      </c>
      <c r="T23" s="76">
        <v>138.19999999999999</v>
      </c>
    </row>
    <row r="24" spans="1:20" s="84" customFormat="1" ht="15.75" customHeight="1" x14ac:dyDescent="0.3">
      <c r="A24" s="71">
        <v>1940</v>
      </c>
      <c r="B24" s="71">
        <v>12</v>
      </c>
      <c r="C24" s="72">
        <f t="shared" si="0"/>
        <v>137.01998207885305</v>
      </c>
      <c r="D24" s="72">
        <f t="shared" si="1"/>
        <v>1644.2397849462366</v>
      </c>
      <c r="E24" s="73">
        <v>4118.6000000000004</v>
      </c>
      <c r="F24" s="73">
        <f t="shared" si="2"/>
        <v>30.058389568536104</v>
      </c>
      <c r="G24" s="74">
        <f t="shared" si="3"/>
        <v>3.3268582061587199E-2</v>
      </c>
      <c r="H24" s="75"/>
      <c r="I24" s="76">
        <v>137.80645161290323</v>
      </c>
      <c r="J24" s="76">
        <v>138</v>
      </c>
      <c r="K24" s="76">
        <v>138</v>
      </c>
      <c r="L24" s="76">
        <v>146</v>
      </c>
      <c r="M24" s="76">
        <v>146</v>
      </c>
      <c r="N24" s="76">
        <v>146</v>
      </c>
      <c r="O24" s="76">
        <v>146</v>
      </c>
      <c r="P24" s="76">
        <v>146</v>
      </c>
      <c r="Q24" s="76">
        <v>146</v>
      </c>
      <c r="R24" s="76">
        <v>146.69999999999999</v>
      </c>
      <c r="S24" s="76">
        <v>114.43333333333334</v>
      </c>
      <c r="T24" s="76">
        <v>93.3</v>
      </c>
    </row>
    <row r="25" spans="1:20" s="84" customFormat="1" ht="15.75" customHeight="1" x14ac:dyDescent="0.3">
      <c r="A25" s="71">
        <v>1941</v>
      </c>
      <c r="B25" s="71">
        <v>12</v>
      </c>
      <c r="C25" s="72">
        <f t="shared" si="0"/>
        <v>135.37580645161293</v>
      </c>
      <c r="D25" s="72">
        <f t="shared" si="1"/>
        <v>1624.5096774193553</v>
      </c>
      <c r="E25" s="73">
        <v>4118.6000000000004</v>
      </c>
      <c r="F25" s="73">
        <f t="shared" si="2"/>
        <v>30.423456804832423</v>
      </c>
      <c r="G25" s="74">
        <f t="shared" si="3"/>
        <v>3.2869374654400263E-2</v>
      </c>
      <c r="H25" s="75"/>
      <c r="I25" s="76">
        <v>138</v>
      </c>
      <c r="J25" s="76">
        <v>102.4</v>
      </c>
      <c r="K25" s="76">
        <v>126.2</v>
      </c>
      <c r="L25" s="76">
        <v>141.30000000000001</v>
      </c>
      <c r="M25" s="76">
        <v>152</v>
      </c>
      <c r="N25" s="76">
        <v>152</v>
      </c>
      <c r="O25" s="76">
        <v>151.83870967741936</v>
      </c>
      <c r="P25" s="76">
        <v>152</v>
      </c>
      <c r="Q25" s="76">
        <v>152</v>
      </c>
      <c r="R25" s="76">
        <v>134.74193548387098</v>
      </c>
      <c r="S25" s="76">
        <v>102.9</v>
      </c>
      <c r="T25" s="76">
        <v>119.12903225806451</v>
      </c>
    </row>
    <row r="26" spans="1:20" s="84" customFormat="1" ht="15.75" customHeight="1" x14ac:dyDescent="0.3">
      <c r="A26" s="71">
        <v>1942</v>
      </c>
      <c r="B26" s="71">
        <v>12</v>
      </c>
      <c r="C26" s="72">
        <f t="shared" si="0"/>
        <v>129.5151433691756</v>
      </c>
      <c r="D26" s="72">
        <f t="shared" si="1"/>
        <v>1554.1817204301074</v>
      </c>
      <c r="E26" s="73">
        <v>4118.6000000000004</v>
      </c>
      <c r="F26" s="73">
        <f t="shared" si="2"/>
        <v>31.800142383815022</v>
      </c>
      <c r="G26" s="74">
        <f t="shared" si="3"/>
        <v>3.144640007992415E-2</v>
      </c>
      <c r="H26" s="75"/>
      <c r="I26" s="76">
        <v>138</v>
      </c>
      <c r="J26" s="76">
        <v>138</v>
      </c>
      <c r="K26" s="76">
        <v>138</v>
      </c>
      <c r="L26" s="76">
        <v>138.23333333333332</v>
      </c>
      <c r="M26" s="76">
        <v>136</v>
      </c>
      <c r="N26" s="76">
        <v>144</v>
      </c>
      <c r="O26" s="76">
        <v>144</v>
      </c>
      <c r="P26" s="76">
        <v>145.54838709677421</v>
      </c>
      <c r="Q26" s="76">
        <v>147</v>
      </c>
      <c r="R26" s="76">
        <v>113.3</v>
      </c>
      <c r="S26" s="76">
        <v>99.1</v>
      </c>
      <c r="T26" s="76">
        <v>73</v>
      </c>
    </row>
    <row r="27" spans="1:20" s="84" customFormat="1" ht="15.75" customHeight="1" x14ac:dyDescent="0.3">
      <c r="A27" s="71">
        <v>1943</v>
      </c>
      <c r="B27" s="71">
        <v>12</v>
      </c>
      <c r="C27" s="72">
        <f t="shared" si="0"/>
        <v>84.976612903225814</v>
      </c>
      <c r="D27" s="72">
        <f t="shared" si="1"/>
        <v>1019.7193548387097</v>
      </c>
      <c r="E27" s="73">
        <v>4118.6000000000004</v>
      </c>
      <c r="F27" s="73">
        <f t="shared" si="2"/>
        <v>48.467453094304886</v>
      </c>
      <c r="G27" s="74">
        <f t="shared" si="3"/>
        <v>2.0632402491920995E-2</v>
      </c>
      <c r="H27" s="75"/>
      <c r="I27" s="76">
        <v>73</v>
      </c>
      <c r="J27" s="76">
        <v>73</v>
      </c>
      <c r="K27" s="76">
        <v>73</v>
      </c>
      <c r="L27" s="76">
        <v>80</v>
      </c>
      <c r="M27" s="76">
        <v>80</v>
      </c>
      <c r="N27" s="76">
        <v>80</v>
      </c>
      <c r="O27" s="76">
        <v>78</v>
      </c>
      <c r="P27" s="76">
        <v>94.41935483870968</v>
      </c>
      <c r="Q27" s="76">
        <v>108</v>
      </c>
      <c r="R27" s="76">
        <v>93.7</v>
      </c>
      <c r="S27" s="76">
        <v>86.6</v>
      </c>
      <c r="T27" s="76">
        <v>100</v>
      </c>
    </row>
    <row r="28" spans="1:20" s="84" customFormat="1" ht="15.75" customHeight="1" x14ac:dyDescent="0.3">
      <c r="A28" s="71">
        <v>1944</v>
      </c>
      <c r="B28" s="71">
        <v>12</v>
      </c>
      <c r="C28" s="72">
        <f t="shared" si="0"/>
        <v>100.94516129032257</v>
      </c>
      <c r="D28" s="72">
        <f t="shared" si="1"/>
        <v>1211.3419354838709</v>
      </c>
      <c r="E28" s="73">
        <v>4118.6000000000004</v>
      </c>
      <c r="F28" s="73">
        <f t="shared" si="2"/>
        <v>40.800370689930659</v>
      </c>
      <c r="G28" s="74">
        <f t="shared" si="3"/>
        <v>2.4509581238848777E-2</v>
      </c>
      <c r="H28" s="75"/>
      <c r="I28" s="76">
        <v>100</v>
      </c>
      <c r="J28" s="76">
        <v>100</v>
      </c>
      <c r="K28" s="76">
        <v>95.806451612903231</v>
      </c>
      <c r="L28" s="76">
        <v>103.2</v>
      </c>
      <c r="M28" s="76">
        <v>106</v>
      </c>
      <c r="N28" s="76">
        <v>106</v>
      </c>
      <c r="O28" s="76">
        <v>106</v>
      </c>
      <c r="P28" s="76">
        <v>104.4</v>
      </c>
      <c r="Q28" s="76">
        <v>104</v>
      </c>
      <c r="R28" s="76">
        <v>85.935483870967744</v>
      </c>
      <c r="S28" s="76">
        <v>100</v>
      </c>
      <c r="T28" s="76">
        <v>100</v>
      </c>
    </row>
    <row r="29" spans="1:20" s="84" customFormat="1" ht="15.75" customHeight="1" x14ac:dyDescent="0.3">
      <c r="A29" s="71">
        <v>1945</v>
      </c>
      <c r="B29" s="71">
        <v>12</v>
      </c>
      <c r="C29" s="72">
        <f t="shared" si="0"/>
        <v>104.14964157706093</v>
      </c>
      <c r="D29" s="72">
        <f t="shared" si="1"/>
        <v>1249.7956989247311</v>
      </c>
      <c r="E29" s="73">
        <v>4118.6000000000004</v>
      </c>
      <c r="F29" s="73">
        <f t="shared" si="2"/>
        <v>39.545023272620902</v>
      </c>
      <c r="G29" s="74">
        <f t="shared" si="3"/>
        <v>2.5287632102428233E-2</v>
      </c>
      <c r="H29" s="75"/>
      <c r="I29" s="76">
        <v>100</v>
      </c>
      <c r="J29" s="76">
        <v>100</v>
      </c>
      <c r="K29" s="76">
        <v>100</v>
      </c>
      <c r="L29" s="76">
        <v>109</v>
      </c>
      <c r="M29" s="76">
        <v>105.12903225806451</v>
      </c>
      <c r="N29" s="76">
        <v>108.16666666666667</v>
      </c>
      <c r="O29" s="76">
        <v>109</v>
      </c>
      <c r="P29" s="76">
        <v>109</v>
      </c>
      <c r="Q29" s="76">
        <v>108.8</v>
      </c>
      <c r="R29" s="76">
        <v>94.3</v>
      </c>
      <c r="S29" s="76">
        <v>92.4</v>
      </c>
      <c r="T29" s="76">
        <v>114</v>
      </c>
    </row>
    <row r="30" spans="1:20" s="84" customFormat="1" ht="15.75" customHeight="1" x14ac:dyDescent="0.3">
      <c r="A30" s="71">
        <v>1946</v>
      </c>
      <c r="B30" s="71">
        <v>12</v>
      </c>
      <c r="C30" s="72">
        <f t="shared" si="0"/>
        <v>113.60833333333333</v>
      </c>
      <c r="D30" s="72">
        <f t="shared" si="1"/>
        <v>1363.3</v>
      </c>
      <c r="E30" s="73">
        <v>4118.6000000000004</v>
      </c>
      <c r="F30" s="73">
        <f t="shared" si="2"/>
        <v>36.252622313503998</v>
      </c>
      <c r="G30" s="74">
        <f t="shared" si="3"/>
        <v>2.7584211463442268E-2</v>
      </c>
      <c r="H30" s="75"/>
      <c r="I30" s="76">
        <v>114</v>
      </c>
      <c r="J30" s="76">
        <v>114</v>
      </c>
      <c r="K30" s="76">
        <v>114</v>
      </c>
      <c r="L30" s="76">
        <v>123</v>
      </c>
      <c r="M30" s="76">
        <v>123</v>
      </c>
      <c r="N30" s="76">
        <v>123</v>
      </c>
      <c r="O30" s="76">
        <v>123</v>
      </c>
      <c r="P30" s="76">
        <v>121</v>
      </c>
      <c r="Q30" s="76">
        <v>121</v>
      </c>
      <c r="R30" s="76">
        <v>83.3</v>
      </c>
      <c r="S30" s="76">
        <v>90</v>
      </c>
      <c r="T30" s="76">
        <v>114</v>
      </c>
    </row>
    <row r="31" spans="1:20" s="84" customFormat="1" ht="15.75" customHeight="1" x14ac:dyDescent="0.3">
      <c r="A31" s="71">
        <v>1947</v>
      </c>
      <c r="B31" s="71">
        <v>12</v>
      </c>
      <c r="C31" s="72">
        <f t="shared" si="0"/>
        <v>110.26370967741934</v>
      </c>
      <c r="D31" s="72">
        <f t="shared" si="1"/>
        <v>1323.1645161290321</v>
      </c>
      <c r="E31" s="73">
        <v>4118.6000000000004</v>
      </c>
      <c r="F31" s="73">
        <f t="shared" si="2"/>
        <v>37.352271314370981</v>
      </c>
      <c r="G31" s="74">
        <f t="shared" si="3"/>
        <v>2.6772133656441346E-2</v>
      </c>
      <c r="H31" s="75"/>
      <c r="I31" s="76">
        <v>114</v>
      </c>
      <c r="J31" s="76">
        <v>114</v>
      </c>
      <c r="K31" s="76">
        <v>115.06451612903226</v>
      </c>
      <c r="L31" s="76">
        <v>125</v>
      </c>
      <c r="M31" s="76">
        <v>125</v>
      </c>
      <c r="N31" s="76">
        <v>125</v>
      </c>
      <c r="O31" s="76">
        <v>125</v>
      </c>
      <c r="P31" s="76">
        <v>125</v>
      </c>
      <c r="Q31" s="76">
        <v>125</v>
      </c>
      <c r="R31" s="76">
        <v>80.099999999999994</v>
      </c>
      <c r="S31" s="76">
        <v>75</v>
      </c>
      <c r="T31" s="76">
        <v>75</v>
      </c>
    </row>
    <row r="32" spans="1:20" s="84" customFormat="1" ht="15.75" customHeight="1" x14ac:dyDescent="0.3">
      <c r="A32" s="71">
        <v>1948</v>
      </c>
      <c r="B32" s="71">
        <v>12</v>
      </c>
      <c r="C32" s="72">
        <f t="shared" si="0"/>
        <v>77.240770609319</v>
      </c>
      <c r="D32" s="72">
        <f t="shared" si="1"/>
        <v>926.88924731182794</v>
      </c>
      <c r="E32" s="73">
        <v>4118.6000000000004</v>
      </c>
      <c r="F32" s="73">
        <f t="shared" si="2"/>
        <v>53.32158091523619</v>
      </c>
      <c r="G32" s="74">
        <f t="shared" si="3"/>
        <v>1.8754132620142524E-2</v>
      </c>
      <c r="H32" s="75"/>
      <c r="I32" s="76">
        <v>75</v>
      </c>
      <c r="J32" s="76">
        <v>75</v>
      </c>
      <c r="K32" s="76">
        <v>79.2</v>
      </c>
      <c r="L32" s="76">
        <v>76.333333333333329</v>
      </c>
      <c r="M32" s="76">
        <v>78.612903225806448</v>
      </c>
      <c r="N32" s="76">
        <v>82</v>
      </c>
      <c r="O32" s="76">
        <v>82</v>
      </c>
      <c r="P32" s="76">
        <v>82</v>
      </c>
      <c r="Q32" s="76">
        <v>82</v>
      </c>
      <c r="R32" s="76">
        <v>82</v>
      </c>
      <c r="S32" s="76">
        <v>67.033333333333331</v>
      </c>
      <c r="T32" s="76">
        <v>65.709677419354833</v>
      </c>
    </row>
    <row r="33" spans="1:20" s="84" customFormat="1" ht="15.75" customHeight="1" x14ac:dyDescent="0.3">
      <c r="A33" s="71">
        <v>1949</v>
      </c>
      <c r="B33" s="71">
        <v>12</v>
      </c>
      <c r="C33" s="72">
        <f t="shared" si="0"/>
        <v>78.169892473118281</v>
      </c>
      <c r="D33" s="72">
        <f t="shared" si="1"/>
        <v>938.03870967741943</v>
      </c>
      <c r="E33" s="73">
        <v>4118.6000000000004</v>
      </c>
      <c r="F33" s="73">
        <f t="shared" si="2"/>
        <v>52.687804341247357</v>
      </c>
      <c r="G33" s="74">
        <f t="shared" si="3"/>
        <v>1.8979724292992346E-2</v>
      </c>
      <c r="H33" s="75"/>
      <c r="I33" s="76">
        <v>75</v>
      </c>
      <c r="J33" s="76">
        <v>75</v>
      </c>
      <c r="K33" s="76">
        <v>75.599999999999994</v>
      </c>
      <c r="L33" s="76">
        <v>82</v>
      </c>
      <c r="M33" s="76">
        <v>82</v>
      </c>
      <c r="N33" s="76">
        <v>82</v>
      </c>
      <c r="O33" s="76">
        <v>82.838709677419359</v>
      </c>
      <c r="P33" s="76">
        <v>83</v>
      </c>
      <c r="Q33" s="76">
        <v>83</v>
      </c>
      <c r="R33" s="76">
        <v>64</v>
      </c>
      <c r="S33" s="76">
        <v>73.599999999999994</v>
      </c>
      <c r="T33" s="76">
        <v>80</v>
      </c>
    </row>
    <row r="34" spans="1:20" s="84" customFormat="1" ht="15.75" customHeight="1" x14ac:dyDescent="0.3">
      <c r="A34" s="71">
        <v>1950</v>
      </c>
      <c r="B34" s="71">
        <v>12</v>
      </c>
      <c r="C34" s="72">
        <f t="shared" si="0"/>
        <v>86.758333333333326</v>
      </c>
      <c r="D34" s="72">
        <f t="shared" si="1"/>
        <v>1041.0999999999999</v>
      </c>
      <c r="E34" s="73">
        <v>4118.6000000000004</v>
      </c>
      <c r="F34" s="73">
        <f t="shared" si="2"/>
        <v>47.472096820670451</v>
      </c>
      <c r="G34" s="74">
        <f t="shared" si="3"/>
        <v>2.1065005908156489E-2</v>
      </c>
      <c r="H34" s="75"/>
      <c r="I34" s="76">
        <v>80</v>
      </c>
      <c r="J34" s="76">
        <v>80</v>
      </c>
      <c r="K34" s="76">
        <v>80</v>
      </c>
      <c r="L34" s="76">
        <v>85.2</v>
      </c>
      <c r="M34" s="76">
        <v>85.7</v>
      </c>
      <c r="N34" s="76">
        <v>87</v>
      </c>
      <c r="O34" s="76">
        <v>97</v>
      </c>
      <c r="P34" s="76">
        <v>97</v>
      </c>
      <c r="Q34" s="76">
        <v>97</v>
      </c>
      <c r="R34" s="76">
        <v>76.2</v>
      </c>
      <c r="S34" s="76">
        <v>86</v>
      </c>
      <c r="T34" s="76">
        <v>90</v>
      </c>
    </row>
    <row r="35" spans="1:20" s="84" customFormat="1" ht="15.75" customHeight="1" x14ac:dyDescent="0.3">
      <c r="A35" s="71">
        <v>1951</v>
      </c>
      <c r="B35" s="71">
        <v>12</v>
      </c>
      <c r="C35" s="72">
        <f t="shared" si="0"/>
        <v>92.358333333333334</v>
      </c>
      <c r="D35" s="72">
        <f t="shared" si="1"/>
        <v>1108.3</v>
      </c>
      <c r="E35" s="73">
        <v>4118.6000000000004</v>
      </c>
      <c r="F35" s="73">
        <f t="shared" si="2"/>
        <v>44.593702066227557</v>
      </c>
      <c r="G35" s="74">
        <f t="shared" si="3"/>
        <v>2.2424691238122987E-2</v>
      </c>
      <c r="H35" s="75"/>
      <c r="I35" s="76">
        <v>90</v>
      </c>
      <c r="J35" s="76">
        <v>90</v>
      </c>
      <c r="K35" s="76">
        <v>93.2</v>
      </c>
      <c r="L35" s="76">
        <v>96</v>
      </c>
      <c r="M35" s="76">
        <v>96</v>
      </c>
      <c r="N35" s="76">
        <v>96</v>
      </c>
      <c r="O35" s="76">
        <v>96</v>
      </c>
      <c r="P35" s="76">
        <v>95.8</v>
      </c>
      <c r="Q35" s="76">
        <v>96</v>
      </c>
      <c r="R35" s="76">
        <v>64.3</v>
      </c>
      <c r="S35" s="76">
        <v>95</v>
      </c>
      <c r="T35" s="76">
        <v>100</v>
      </c>
    </row>
    <row r="36" spans="1:20" s="84" customFormat="1" ht="15.75" customHeight="1" x14ac:dyDescent="0.3">
      <c r="A36" s="71">
        <v>1952</v>
      </c>
      <c r="B36" s="71">
        <v>12</v>
      </c>
      <c r="C36" s="72">
        <f t="shared" si="0"/>
        <v>103.06460573476703</v>
      </c>
      <c r="D36" s="72">
        <f t="shared" si="1"/>
        <v>1236.7752688172043</v>
      </c>
      <c r="E36" s="73">
        <v>4118.6000000000004</v>
      </c>
      <c r="F36" s="73">
        <f t="shared" si="2"/>
        <v>39.961342408848544</v>
      </c>
      <c r="G36" s="74">
        <f t="shared" si="3"/>
        <v>2.502418436720415E-2</v>
      </c>
      <c r="H36" s="75"/>
      <c r="I36" s="76">
        <v>100</v>
      </c>
      <c r="J36" s="76">
        <v>100</v>
      </c>
      <c r="K36" s="76">
        <v>102.5</v>
      </c>
      <c r="L36" s="76">
        <v>110</v>
      </c>
      <c r="M36" s="76">
        <v>112</v>
      </c>
      <c r="N36" s="76">
        <v>106.4</v>
      </c>
      <c r="O36" s="76">
        <v>108.8</v>
      </c>
      <c r="P36" s="76">
        <v>109.4</v>
      </c>
      <c r="Q36" s="76">
        <v>109</v>
      </c>
      <c r="R36" s="76">
        <v>109</v>
      </c>
      <c r="S36" s="76">
        <v>84.933333333333337</v>
      </c>
      <c r="T36" s="76">
        <v>84.741935483870961</v>
      </c>
    </row>
    <row r="37" spans="1:20" s="84" customFormat="1" ht="15.75" customHeight="1" x14ac:dyDescent="0.3">
      <c r="A37" s="71">
        <v>1953</v>
      </c>
      <c r="B37" s="71">
        <v>12</v>
      </c>
      <c r="C37" s="72">
        <f t="shared" si="0"/>
        <v>99.785714285714278</v>
      </c>
      <c r="D37" s="72">
        <f t="shared" si="1"/>
        <v>1197.4285714285713</v>
      </c>
      <c r="E37" s="73">
        <v>4118.6000000000004</v>
      </c>
      <c r="F37" s="73">
        <f t="shared" si="2"/>
        <v>41.274445239799576</v>
      </c>
      <c r="G37" s="74">
        <f t="shared" si="3"/>
        <v>2.4228066402591723E-2</v>
      </c>
      <c r="H37" s="75"/>
      <c r="I37" s="76">
        <v>100</v>
      </c>
      <c r="J37" s="76">
        <v>100.92857142857143</v>
      </c>
      <c r="K37" s="76">
        <v>101.4</v>
      </c>
      <c r="L37" s="76">
        <v>108</v>
      </c>
      <c r="M37" s="76">
        <v>108</v>
      </c>
      <c r="N37" s="76">
        <v>107.4</v>
      </c>
      <c r="O37" s="76">
        <v>107</v>
      </c>
      <c r="P37" s="76">
        <v>107</v>
      </c>
      <c r="Q37" s="76">
        <v>107</v>
      </c>
      <c r="R37" s="76">
        <v>61.5</v>
      </c>
      <c r="S37" s="76">
        <v>89.2</v>
      </c>
      <c r="T37" s="76">
        <v>100</v>
      </c>
    </row>
    <row r="38" spans="1:20" s="84" customFormat="1" ht="15.75" customHeight="1" x14ac:dyDescent="0.3">
      <c r="A38" s="71">
        <v>1954</v>
      </c>
      <c r="B38" s="71">
        <v>12</v>
      </c>
      <c r="C38" s="72">
        <f t="shared" si="0"/>
        <v>90.079928315412189</v>
      </c>
      <c r="D38" s="72">
        <f t="shared" si="1"/>
        <v>1080.9591397849463</v>
      </c>
      <c r="E38" s="73">
        <v>4118.6000000000004</v>
      </c>
      <c r="F38" s="73">
        <f t="shared" si="2"/>
        <v>45.721617201768247</v>
      </c>
      <c r="G38" s="74">
        <f t="shared" si="3"/>
        <v>2.1871492331232017E-2</v>
      </c>
      <c r="H38" s="75"/>
      <c r="I38" s="76">
        <v>100</v>
      </c>
      <c r="J38" s="76">
        <v>100</v>
      </c>
      <c r="K38" s="76">
        <v>107</v>
      </c>
      <c r="L38" s="76">
        <v>101.2</v>
      </c>
      <c r="M38" s="76">
        <v>85.2</v>
      </c>
      <c r="N38" s="76">
        <v>87</v>
      </c>
      <c r="O38" s="76">
        <v>86.709677419354833</v>
      </c>
      <c r="P38" s="76">
        <v>87</v>
      </c>
      <c r="Q38" s="76">
        <v>87</v>
      </c>
      <c r="R38" s="76">
        <v>63.516129032258064</v>
      </c>
      <c r="S38" s="76">
        <v>86.333333333333329</v>
      </c>
      <c r="T38" s="76">
        <v>90</v>
      </c>
    </row>
    <row r="39" spans="1:20" s="84" customFormat="1" ht="15.75" customHeight="1" x14ac:dyDescent="0.3">
      <c r="A39" s="71">
        <v>1955</v>
      </c>
      <c r="B39" s="71">
        <v>12</v>
      </c>
      <c r="C39" s="72">
        <f t="shared" si="0"/>
        <v>95.221505376344098</v>
      </c>
      <c r="D39" s="72">
        <f t="shared" si="1"/>
        <v>1142.6580645161291</v>
      </c>
      <c r="E39" s="73">
        <v>4118.6000000000004</v>
      </c>
      <c r="F39" s="73">
        <f t="shared" si="2"/>
        <v>43.252834364695786</v>
      </c>
      <c r="G39" s="74">
        <f t="shared" si="3"/>
        <v>2.3119872135275114E-2</v>
      </c>
      <c r="H39" s="79"/>
      <c r="I39" s="76">
        <v>90</v>
      </c>
      <c r="J39" s="76">
        <v>90</v>
      </c>
      <c r="K39" s="76">
        <v>97.548387096774192</v>
      </c>
      <c r="L39" s="76">
        <v>97</v>
      </c>
      <c r="M39" s="76">
        <v>89.8</v>
      </c>
      <c r="N39" s="76">
        <v>98</v>
      </c>
      <c r="O39" s="76">
        <v>98</v>
      </c>
      <c r="P39" s="76">
        <v>98</v>
      </c>
      <c r="Q39" s="76">
        <v>98</v>
      </c>
      <c r="R39" s="76">
        <v>88.709677419354833</v>
      </c>
      <c r="S39" s="76">
        <v>87.6</v>
      </c>
      <c r="T39" s="76">
        <v>110</v>
      </c>
    </row>
    <row r="40" spans="1:20" s="84" customFormat="1" ht="15.75" customHeight="1" x14ac:dyDescent="0.3">
      <c r="A40" s="71">
        <v>1956</v>
      </c>
      <c r="B40" s="71">
        <v>12</v>
      </c>
      <c r="C40" s="72">
        <f t="shared" si="0"/>
        <v>102.82885304659499</v>
      </c>
      <c r="D40" s="72">
        <f t="shared" si="1"/>
        <v>1233.9462365591398</v>
      </c>
      <c r="E40" s="73">
        <v>4118.6000000000004</v>
      </c>
      <c r="F40" s="73">
        <f t="shared" si="2"/>
        <v>40.052960603710453</v>
      </c>
      <c r="G40" s="74">
        <f t="shared" si="3"/>
        <v>2.4966943390131349E-2</v>
      </c>
      <c r="H40" s="79"/>
      <c r="I40" s="76">
        <v>110</v>
      </c>
      <c r="J40" s="76">
        <v>110</v>
      </c>
      <c r="K40" s="76">
        <v>120</v>
      </c>
      <c r="L40" s="76">
        <v>119.13333333333334</v>
      </c>
      <c r="M40" s="76">
        <v>119</v>
      </c>
      <c r="N40" s="76">
        <v>119</v>
      </c>
      <c r="O40" s="76">
        <v>119</v>
      </c>
      <c r="P40" s="76">
        <v>118.61290322580645</v>
      </c>
      <c r="Q40" s="76">
        <v>118</v>
      </c>
      <c r="R40" s="76">
        <v>81.2</v>
      </c>
      <c r="S40" s="76">
        <v>50</v>
      </c>
      <c r="T40" s="76">
        <v>50</v>
      </c>
    </row>
    <row r="41" spans="1:20" s="84" customFormat="1" ht="15.75" customHeight="1" x14ac:dyDescent="0.3">
      <c r="A41" s="71">
        <v>1957</v>
      </c>
      <c r="B41" s="71">
        <v>12</v>
      </c>
      <c r="C41" s="72">
        <f t="shared" si="0"/>
        <v>34.35</v>
      </c>
      <c r="D41" s="72">
        <f t="shared" si="1"/>
        <v>412.2</v>
      </c>
      <c r="E41" s="76">
        <v>1902.5</v>
      </c>
      <c r="F41" s="73">
        <f t="shared" si="2"/>
        <v>55.385735080058225</v>
      </c>
      <c r="G41" s="74">
        <f t="shared" si="3"/>
        <v>1.8055190538764785E-2</v>
      </c>
      <c r="H41" s="79"/>
      <c r="I41" s="76">
        <v>50</v>
      </c>
      <c r="J41" s="76">
        <v>50</v>
      </c>
      <c r="K41" s="76">
        <v>55</v>
      </c>
      <c r="L41" s="76">
        <v>52.5</v>
      </c>
      <c r="M41" s="76">
        <v>50</v>
      </c>
      <c r="N41" s="76">
        <v>50</v>
      </c>
      <c r="O41" s="73">
        <v>50</v>
      </c>
      <c r="P41" s="73">
        <v>49.2</v>
      </c>
      <c r="Q41" s="73">
        <v>5.5</v>
      </c>
      <c r="R41" s="73">
        <v>0</v>
      </c>
      <c r="S41" s="73">
        <v>0</v>
      </c>
      <c r="T41" s="73">
        <v>0</v>
      </c>
    </row>
    <row r="42" spans="1:20" s="84" customFormat="1" ht="15.75" customHeight="1" x14ac:dyDescent="0.3">
      <c r="A42" s="85">
        <v>1958</v>
      </c>
      <c r="B42" s="71">
        <v>12</v>
      </c>
      <c r="C42" s="72">
        <f t="shared" si="0"/>
        <v>22.266666666666666</v>
      </c>
      <c r="D42" s="72">
        <f t="shared" si="1"/>
        <v>267.2</v>
      </c>
      <c r="E42" s="76">
        <v>1902.5</v>
      </c>
      <c r="F42" s="73">
        <f t="shared" si="2"/>
        <v>85.441616766467064</v>
      </c>
      <c r="G42" s="74">
        <f t="shared" si="3"/>
        <v>1.1703898379325449E-2</v>
      </c>
      <c r="H42" s="79"/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25.6</v>
      </c>
      <c r="O42" s="73">
        <v>70</v>
      </c>
      <c r="P42" s="73">
        <v>70</v>
      </c>
      <c r="Q42" s="73">
        <v>70</v>
      </c>
      <c r="R42" s="73">
        <v>31.6</v>
      </c>
      <c r="S42" s="73">
        <v>0</v>
      </c>
      <c r="T42" s="73">
        <v>0</v>
      </c>
    </row>
    <row r="43" spans="1:20" s="84" customFormat="1" ht="15.75" customHeight="1" x14ac:dyDescent="0.3">
      <c r="A43" s="85">
        <v>1959</v>
      </c>
      <c r="B43" s="71">
        <v>12</v>
      </c>
      <c r="C43" s="72">
        <f t="shared" si="0"/>
        <v>45.56666666666667</v>
      </c>
      <c r="D43" s="72">
        <f t="shared" si="1"/>
        <v>546.80000000000007</v>
      </c>
      <c r="E43" s="76">
        <v>1902.5</v>
      </c>
      <c r="F43" s="73">
        <f t="shared" si="2"/>
        <v>41.752011704462326</v>
      </c>
      <c r="G43" s="74">
        <f t="shared" si="3"/>
        <v>2.3950941743320193E-2</v>
      </c>
      <c r="H43" s="75"/>
      <c r="I43" s="73">
        <v>0</v>
      </c>
      <c r="J43" s="73">
        <v>0</v>
      </c>
      <c r="K43" s="73">
        <v>0</v>
      </c>
      <c r="L43" s="73">
        <v>0</v>
      </c>
      <c r="M43" s="73">
        <v>45.1</v>
      </c>
      <c r="N43" s="73">
        <v>70</v>
      </c>
      <c r="O43" s="73">
        <v>70</v>
      </c>
      <c r="P43" s="73">
        <v>70</v>
      </c>
      <c r="Q43" s="73">
        <v>70</v>
      </c>
      <c r="R43" s="73">
        <v>66</v>
      </c>
      <c r="S43" s="73">
        <v>73.8</v>
      </c>
      <c r="T43" s="73">
        <v>81.900000000000006</v>
      </c>
    </row>
    <row r="44" spans="1:20" s="84" customFormat="1" ht="15.75" customHeight="1" x14ac:dyDescent="0.3">
      <c r="A44" s="85">
        <v>1960</v>
      </c>
      <c r="B44" s="71">
        <v>12</v>
      </c>
      <c r="C44" s="72">
        <f t="shared" si="0"/>
        <v>35.975000000000001</v>
      </c>
      <c r="D44" s="72">
        <f t="shared" si="1"/>
        <v>431.70000000000005</v>
      </c>
      <c r="E44" s="76">
        <v>1902.5</v>
      </c>
      <c r="F44" s="73">
        <f t="shared" si="2"/>
        <v>52.883947185545516</v>
      </c>
      <c r="G44" s="74">
        <f t="shared" si="3"/>
        <v>1.8909329829172143E-2</v>
      </c>
      <c r="H44" s="75"/>
      <c r="I44" s="73">
        <v>1.2</v>
      </c>
      <c r="J44" s="73">
        <v>0</v>
      </c>
      <c r="K44" s="73">
        <v>0</v>
      </c>
      <c r="L44" s="73">
        <v>0</v>
      </c>
      <c r="M44" s="73">
        <v>0</v>
      </c>
      <c r="N44" s="73">
        <v>84.9</v>
      </c>
      <c r="O44" s="73">
        <v>91</v>
      </c>
      <c r="P44" s="73">
        <v>89.3</v>
      </c>
      <c r="Q44" s="73">
        <v>89</v>
      </c>
      <c r="R44" s="73">
        <v>76.3</v>
      </c>
      <c r="S44" s="73">
        <v>0</v>
      </c>
      <c r="T44" s="73">
        <v>0</v>
      </c>
    </row>
    <row r="45" spans="1:20" s="84" customFormat="1" ht="15.75" customHeight="1" x14ac:dyDescent="0.3">
      <c r="A45" s="85">
        <v>1961</v>
      </c>
      <c r="B45" s="71">
        <v>12</v>
      </c>
      <c r="C45" s="72">
        <f t="shared" si="0"/>
        <v>27.716666666666669</v>
      </c>
      <c r="D45" s="72">
        <f t="shared" si="1"/>
        <v>332.6</v>
      </c>
      <c r="E45" s="76">
        <v>1902.5</v>
      </c>
      <c r="F45" s="73">
        <f t="shared" si="2"/>
        <v>68.64101022248947</v>
      </c>
      <c r="G45" s="74">
        <f t="shared" si="3"/>
        <v>1.4568550153307052E-2</v>
      </c>
      <c r="H45" s="53"/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44.3</v>
      </c>
      <c r="O45" s="73">
        <v>84</v>
      </c>
      <c r="P45" s="73">
        <v>84</v>
      </c>
      <c r="Q45" s="73">
        <v>84</v>
      </c>
      <c r="R45" s="73">
        <v>36.299999999999997</v>
      </c>
      <c r="S45" s="73">
        <v>0</v>
      </c>
      <c r="T45" s="73">
        <v>0</v>
      </c>
    </row>
    <row r="46" spans="1:20" s="84" customFormat="1" ht="15.75" customHeight="1" x14ac:dyDescent="0.3">
      <c r="A46" s="85">
        <v>1962</v>
      </c>
      <c r="B46" s="71">
        <v>12</v>
      </c>
      <c r="C46" s="72">
        <f t="shared" si="0"/>
        <v>30.925000000000001</v>
      </c>
      <c r="D46" s="72">
        <f t="shared" si="1"/>
        <v>371.1</v>
      </c>
      <c r="E46" s="76">
        <v>1902.5</v>
      </c>
      <c r="F46" s="73">
        <f t="shared" si="2"/>
        <v>61.519805982215033</v>
      </c>
      <c r="G46" s="74">
        <f t="shared" si="3"/>
        <v>1.6254927726675427E-2</v>
      </c>
      <c r="H46" s="53"/>
      <c r="I46" s="73">
        <v>0</v>
      </c>
      <c r="J46" s="73">
        <v>0</v>
      </c>
      <c r="K46" s="73">
        <v>0</v>
      </c>
      <c r="L46" s="73">
        <v>0</v>
      </c>
      <c r="M46" s="73">
        <v>14.1</v>
      </c>
      <c r="N46" s="73">
        <v>88</v>
      </c>
      <c r="O46" s="73">
        <v>88</v>
      </c>
      <c r="P46" s="73">
        <v>88</v>
      </c>
      <c r="Q46" s="73">
        <v>88</v>
      </c>
      <c r="R46" s="73">
        <v>5</v>
      </c>
      <c r="S46" s="73">
        <v>0</v>
      </c>
      <c r="T46" s="73">
        <v>0</v>
      </c>
    </row>
    <row r="47" spans="1:20" s="84" customFormat="1" ht="15.75" customHeight="1" x14ac:dyDescent="0.3">
      <c r="A47" s="85">
        <v>1963</v>
      </c>
      <c r="B47" s="71">
        <v>12</v>
      </c>
      <c r="C47" s="72">
        <f t="shared" si="0"/>
        <v>41.033333333333331</v>
      </c>
      <c r="D47" s="72">
        <f t="shared" si="1"/>
        <v>492.4</v>
      </c>
      <c r="E47" s="76">
        <v>1902.5</v>
      </c>
      <c r="F47" s="73">
        <f t="shared" si="2"/>
        <v>46.364744110479286</v>
      </c>
      <c r="G47" s="74">
        <f t="shared" si="3"/>
        <v>2.1568112133158124E-2</v>
      </c>
      <c r="H47" s="53"/>
      <c r="I47" s="73">
        <v>0</v>
      </c>
      <c r="J47" s="73">
        <v>0</v>
      </c>
      <c r="K47" s="73">
        <v>0</v>
      </c>
      <c r="L47" s="73">
        <v>17</v>
      </c>
      <c r="M47" s="73">
        <v>76</v>
      </c>
      <c r="N47" s="73">
        <v>76</v>
      </c>
      <c r="O47" s="73">
        <v>76</v>
      </c>
      <c r="P47" s="73">
        <v>76</v>
      </c>
      <c r="Q47" s="73">
        <v>76</v>
      </c>
      <c r="R47" s="73">
        <v>76</v>
      </c>
      <c r="S47" s="73">
        <v>19.399999999999999</v>
      </c>
      <c r="T47" s="73">
        <v>0</v>
      </c>
    </row>
    <row r="48" spans="1:20" s="84" customFormat="1" ht="15.75" customHeight="1" x14ac:dyDescent="0.3">
      <c r="A48" s="85">
        <v>1964</v>
      </c>
      <c r="B48" s="71">
        <v>12</v>
      </c>
      <c r="C48" s="72">
        <f t="shared" si="0"/>
        <v>34.583333333333336</v>
      </c>
      <c r="D48" s="72">
        <f t="shared" si="1"/>
        <v>415</v>
      </c>
      <c r="E48" s="76">
        <v>1902.5</v>
      </c>
      <c r="F48" s="73">
        <f t="shared" si="2"/>
        <v>55.012048192771083</v>
      </c>
      <c r="G48" s="74">
        <f t="shared" si="3"/>
        <v>1.8177836180464303E-2</v>
      </c>
      <c r="H48" s="53"/>
      <c r="I48" s="73">
        <v>0</v>
      </c>
      <c r="J48" s="73">
        <v>0</v>
      </c>
      <c r="K48" s="73">
        <v>0</v>
      </c>
      <c r="L48" s="73">
        <v>0</v>
      </c>
      <c r="M48" s="73">
        <v>60.7</v>
      </c>
      <c r="N48" s="73">
        <v>69</v>
      </c>
      <c r="O48" s="73">
        <v>69</v>
      </c>
      <c r="P48" s="73">
        <v>69</v>
      </c>
      <c r="Q48" s="73">
        <v>69</v>
      </c>
      <c r="R48" s="73">
        <v>69</v>
      </c>
      <c r="S48" s="73">
        <v>9.3000000000000007</v>
      </c>
      <c r="T48" s="73">
        <v>0</v>
      </c>
    </row>
    <row r="49" spans="1:20" s="84" customFormat="1" ht="15.75" customHeight="1" x14ac:dyDescent="0.3">
      <c r="A49" s="85">
        <v>1965</v>
      </c>
      <c r="B49" s="71">
        <v>12</v>
      </c>
      <c r="C49" s="72">
        <f t="shared" si="0"/>
        <v>40.024999999999999</v>
      </c>
      <c r="D49" s="72">
        <f t="shared" si="1"/>
        <v>480.3</v>
      </c>
      <c r="E49" s="76">
        <v>1902.5</v>
      </c>
      <c r="F49" s="73">
        <f t="shared" si="2"/>
        <v>47.532792004996878</v>
      </c>
      <c r="G49" s="74">
        <f t="shared" si="3"/>
        <v>2.1038107752956635E-2</v>
      </c>
      <c r="H49" s="53"/>
      <c r="I49" s="73">
        <v>0</v>
      </c>
      <c r="J49" s="73">
        <v>0</v>
      </c>
      <c r="K49" s="73">
        <v>0</v>
      </c>
      <c r="L49" s="73">
        <v>0</v>
      </c>
      <c r="M49" s="73">
        <v>30.5</v>
      </c>
      <c r="N49" s="73">
        <v>86</v>
      </c>
      <c r="O49" s="73">
        <v>86</v>
      </c>
      <c r="P49" s="73">
        <v>86</v>
      </c>
      <c r="Q49" s="73">
        <v>86</v>
      </c>
      <c r="R49" s="73">
        <v>86</v>
      </c>
      <c r="S49" s="73">
        <v>19.8</v>
      </c>
      <c r="T49" s="73">
        <v>0</v>
      </c>
    </row>
    <row r="50" spans="1:20" s="84" customFormat="1" ht="15.75" customHeight="1" x14ac:dyDescent="0.3">
      <c r="A50" s="85">
        <v>1966</v>
      </c>
      <c r="B50" s="71">
        <v>12</v>
      </c>
      <c r="C50" s="72">
        <f t="shared" si="0"/>
        <v>44.79999999999999</v>
      </c>
      <c r="D50" s="72">
        <f t="shared" si="1"/>
        <v>537.59999999999991</v>
      </c>
      <c r="E50" s="76">
        <v>1902.5</v>
      </c>
      <c r="F50" s="73">
        <f t="shared" si="2"/>
        <v>42.466517857142868</v>
      </c>
      <c r="G50" s="74">
        <f t="shared" si="3"/>
        <v>2.3547963206307487E-2</v>
      </c>
      <c r="H50" s="53"/>
      <c r="I50" s="73">
        <v>0</v>
      </c>
      <c r="J50" s="73">
        <v>0</v>
      </c>
      <c r="K50" s="73">
        <v>0</v>
      </c>
      <c r="L50" s="73">
        <v>0</v>
      </c>
      <c r="M50" s="73">
        <v>44.3</v>
      </c>
      <c r="N50" s="73">
        <v>98</v>
      </c>
      <c r="O50" s="73">
        <v>98</v>
      </c>
      <c r="P50" s="73">
        <v>98</v>
      </c>
      <c r="Q50" s="73">
        <v>98</v>
      </c>
      <c r="R50" s="73">
        <v>98</v>
      </c>
      <c r="S50" s="73">
        <v>3.3</v>
      </c>
      <c r="T50" s="73">
        <v>0</v>
      </c>
    </row>
    <row r="51" spans="1:20" s="84" customFormat="1" ht="15.75" customHeight="1" x14ac:dyDescent="0.3">
      <c r="A51" s="85">
        <v>1967</v>
      </c>
      <c r="B51" s="71">
        <v>12</v>
      </c>
      <c r="C51" s="72">
        <f t="shared" si="0"/>
        <v>41.108333333333334</v>
      </c>
      <c r="D51" s="72">
        <f t="shared" si="1"/>
        <v>493.3</v>
      </c>
      <c r="E51" s="76">
        <v>1902.5</v>
      </c>
      <c r="F51" s="73">
        <f t="shared" si="2"/>
        <v>46.280154064463815</v>
      </c>
      <c r="G51" s="74">
        <f t="shared" si="3"/>
        <v>2.1607533946561543E-2</v>
      </c>
      <c r="H51" s="53"/>
      <c r="I51" s="73">
        <v>0</v>
      </c>
      <c r="J51" s="73">
        <v>0</v>
      </c>
      <c r="K51" s="73">
        <v>0</v>
      </c>
      <c r="L51" s="73">
        <v>0</v>
      </c>
      <c r="M51" s="73">
        <v>33.299999999999997</v>
      </c>
      <c r="N51" s="73">
        <v>91</v>
      </c>
      <c r="O51" s="73">
        <v>91</v>
      </c>
      <c r="P51" s="73">
        <v>91</v>
      </c>
      <c r="Q51" s="73">
        <v>91</v>
      </c>
      <c r="R51" s="73">
        <v>91</v>
      </c>
      <c r="S51" s="73">
        <v>5</v>
      </c>
      <c r="T51" s="73">
        <v>0</v>
      </c>
    </row>
    <row r="52" spans="1:20" s="84" customFormat="1" ht="15.75" customHeight="1" x14ac:dyDescent="0.3">
      <c r="A52" s="85">
        <v>1968</v>
      </c>
      <c r="B52" s="71">
        <v>12</v>
      </c>
      <c r="C52" s="72">
        <f t="shared" si="0"/>
        <v>32.466666666666661</v>
      </c>
      <c r="D52" s="72">
        <f t="shared" si="1"/>
        <v>389.59999999999997</v>
      </c>
      <c r="E52" s="76">
        <v>1902.5</v>
      </c>
      <c r="F52" s="73">
        <f t="shared" si="2"/>
        <v>58.598562628336765</v>
      </c>
      <c r="G52" s="74">
        <f t="shared" si="3"/>
        <v>1.7065265002190098E-2</v>
      </c>
      <c r="H52" s="53"/>
      <c r="I52" s="73">
        <v>0</v>
      </c>
      <c r="J52" s="73">
        <v>0</v>
      </c>
      <c r="K52" s="73">
        <v>0</v>
      </c>
      <c r="L52" s="73">
        <v>0</v>
      </c>
      <c r="M52" s="73">
        <v>54.9</v>
      </c>
      <c r="N52" s="73">
        <v>74</v>
      </c>
      <c r="O52" s="73">
        <v>74</v>
      </c>
      <c r="P52" s="73">
        <v>74</v>
      </c>
      <c r="Q52" s="73">
        <v>74</v>
      </c>
      <c r="R52" s="73">
        <v>38.700000000000003</v>
      </c>
      <c r="S52" s="73">
        <v>0</v>
      </c>
      <c r="T52" s="73">
        <v>0</v>
      </c>
    </row>
    <row r="53" spans="1:20" s="84" customFormat="1" ht="15.75" customHeight="1" x14ac:dyDescent="0.3">
      <c r="A53" s="85">
        <v>1969</v>
      </c>
      <c r="B53" s="71">
        <v>12</v>
      </c>
      <c r="C53" s="72">
        <f t="shared" si="0"/>
        <v>0</v>
      </c>
      <c r="D53" s="72">
        <f t="shared" si="1"/>
        <v>0</v>
      </c>
      <c r="E53" s="76">
        <v>1902.5</v>
      </c>
      <c r="F53" s="73" t="e">
        <f t="shared" si="2"/>
        <v>#DIV/0!</v>
      </c>
      <c r="G53" s="74">
        <f t="shared" si="3"/>
        <v>0</v>
      </c>
      <c r="H53" s="53"/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</row>
    <row r="54" spans="1:20" s="84" customFormat="1" ht="15.75" customHeight="1" x14ac:dyDescent="0.3">
      <c r="A54" s="85">
        <v>1970</v>
      </c>
      <c r="B54" s="71">
        <v>12</v>
      </c>
      <c r="C54" s="72">
        <f t="shared" si="0"/>
        <v>0</v>
      </c>
      <c r="D54" s="72">
        <f t="shared" si="1"/>
        <v>0</v>
      </c>
      <c r="E54" s="76">
        <v>1902.5</v>
      </c>
      <c r="F54" s="73" t="e">
        <f t="shared" si="2"/>
        <v>#DIV/0!</v>
      </c>
      <c r="G54" s="74">
        <f t="shared" si="3"/>
        <v>0</v>
      </c>
      <c r="H54" s="53"/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</row>
    <row r="55" spans="1:20" s="84" customFormat="1" ht="15.75" customHeight="1" x14ac:dyDescent="0.3">
      <c r="A55" s="85">
        <v>1971</v>
      </c>
      <c r="B55" s="71">
        <v>12</v>
      </c>
      <c r="C55" s="72">
        <f t="shared" si="0"/>
        <v>0</v>
      </c>
      <c r="D55" s="72">
        <f t="shared" si="1"/>
        <v>0</v>
      </c>
      <c r="E55" s="76">
        <v>1902.5</v>
      </c>
      <c r="F55" s="73" t="e">
        <f t="shared" si="2"/>
        <v>#DIV/0!</v>
      </c>
      <c r="G55" s="74">
        <f t="shared" si="3"/>
        <v>0</v>
      </c>
      <c r="H55" s="53"/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</row>
    <row r="56" spans="1:20" s="84" customFormat="1" ht="15.75" customHeight="1" x14ac:dyDescent="0.3">
      <c r="A56" s="85">
        <v>1972</v>
      </c>
      <c r="B56" s="71">
        <v>12</v>
      </c>
      <c r="C56" s="72">
        <f t="shared" si="0"/>
        <v>0</v>
      </c>
      <c r="D56" s="72">
        <f t="shared" si="1"/>
        <v>0</v>
      </c>
      <c r="E56" s="76">
        <v>1902.5</v>
      </c>
      <c r="F56" s="73" t="e">
        <f t="shared" si="2"/>
        <v>#DIV/0!</v>
      </c>
      <c r="G56" s="74">
        <f t="shared" si="3"/>
        <v>0</v>
      </c>
      <c r="H56" s="53"/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3">
        <v>0</v>
      </c>
      <c r="S56" s="73">
        <v>0</v>
      </c>
      <c r="T56" s="73">
        <v>0</v>
      </c>
    </row>
    <row r="57" spans="1:20" s="84" customFormat="1" ht="15.75" customHeight="1" x14ac:dyDescent="0.3">
      <c r="A57" s="85">
        <v>1973</v>
      </c>
      <c r="B57" s="71">
        <v>12</v>
      </c>
      <c r="C57" s="72">
        <f t="shared" si="0"/>
        <v>50.449999999999996</v>
      </c>
      <c r="D57" s="72">
        <f t="shared" si="1"/>
        <v>605.4</v>
      </c>
      <c r="E57" s="76">
        <v>1902.5</v>
      </c>
      <c r="F57" s="73">
        <f t="shared" si="2"/>
        <v>37.71060455896928</v>
      </c>
      <c r="G57" s="74">
        <f t="shared" si="3"/>
        <v>2.6517739816031536E-2</v>
      </c>
      <c r="H57" s="53"/>
      <c r="I57" s="73">
        <v>0</v>
      </c>
      <c r="J57" s="73">
        <v>0</v>
      </c>
      <c r="K57" s="73">
        <v>0</v>
      </c>
      <c r="L57" s="73">
        <v>76</v>
      </c>
      <c r="M57" s="73">
        <v>91</v>
      </c>
      <c r="N57" s="73">
        <v>91</v>
      </c>
      <c r="O57" s="73">
        <v>91</v>
      </c>
      <c r="P57" s="73">
        <v>90.6</v>
      </c>
      <c r="Q57" s="73">
        <v>56.7</v>
      </c>
      <c r="R57" s="73">
        <v>90</v>
      </c>
      <c r="S57" s="73">
        <v>19.100000000000001</v>
      </c>
      <c r="T57" s="73">
        <v>0</v>
      </c>
    </row>
    <row r="58" spans="1:20" s="84" customFormat="1" ht="15.75" customHeight="1" x14ac:dyDescent="0.3">
      <c r="A58" s="85">
        <v>1974</v>
      </c>
      <c r="B58" s="71">
        <v>12</v>
      </c>
      <c r="C58" s="72">
        <f t="shared" si="0"/>
        <v>9.5333333333333332</v>
      </c>
      <c r="D58" s="72">
        <f t="shared" si="1"/>
        <v>114.4</v>
      </c>
      <c r="E58" s="76">
        <v>1902.5</v>
      </c>
      <c r="F58" s="73">
        <f t="shared" si="2"/>
        <v>199.56293706293707</v>
      </c>
      <c r="G58" s="74">
        <f t="shared" si="3"/>
        <v>5.0109505037231709E-3</v>
      </c>
      <c r="H58" s="53"/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26.4</v>
      </c>
      <c r="T58" s="73">
        <v>88</v>
      </c>
    </row>
    <row r="59" spans="1:20" s="84" customFormat="1" ht="15.75" customHeight="1" x14ac:dyDescent="0.3">
      <c r="A59" s="85">
        <v>1975</v>
      </c>
      <c r="B59" s="71">
        <v>12</v>
      </c>
      <c r="C59" s="72">
        <f t="shared" si="0"/>
        <v>16.2</v>
      </c>
      <c r="D59" s="72">
        <f t="shared" si="1"/>
        <v>194.4</v>
      </c>
      <c r="E59" s="76">
        <v>1902.5</v>
      </c>
      <c r="F59" s="73">
        <f t="shared" si="2"/>
        <v>117.43827160493828</v>
      </c>
      <c r="G59" s="74">
        <f t="shared" si="3"/>
        <v>8.5151116951379755E-3</v>
      </c>
      <c r="H59" s="53"/>
      <c r="I59" s="73">
        <v>88</v>
      </c>
      <c r="J59" s="73">
        <v>88</v>
      </c>
      <c r="K59" s="73">
        <v>18.399999999999999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</row>
    <row r="60" spans="1:20" s="84" customFormat="1" ht="15.75" customHeight="1" x14ac:dyDescent="0.3">
      <c r="A60" s="85">
        <v>1976</v>
      </c>
      <c r="B60" s="71">
        <v>12</v>
      </c>
      <c r="C60" s="72">
        <f t="shared" si="0"/>
        <v>69.86666666666666</v>
      </c>
      <c r="D60" s="72">
        <f t="shared" si="1"/>
        <v>838.4</v>
      </c>
      <c r="E60" s="76">
        <v>1902.5</v>
      </c>
      <c r="F60" s="73">
        <f t="shared" si="2"/>
        <v>27.230438931297712</v>
      </c>
      <c r="G60" s="74">
        <f t="shared" si="3"/>
        <v>3.6723609286027151E-2</v>
      </c>
      <c r="H60" s="53"/>
      <c r="I60" s="73">
        <v>0</v>
      </c>
      <c r="J60" s="73">
        <v>92</v>
      </c>
      <c r="K60" s="73">
        <v>88.5</v>
      </c>
      <c r="L60" s="73">
        <v>91.5</v>
      </c>
      <c r="M60" s="73">
        <v>91.5</v>
      </c>
      <c r="N60" s="73">
        <v>84.9</v>
      </c>
      <c r="O60" s="73">
        <v>97.5</v>
      </c>
      <c r="P60" s="73">
        <v>97.5</v>
      </c>
      <c r="Q60" s="73">
        <v>97.5</v>
      </c>
      <c r="R60" s="73">
        <v>97.5</v>
      </c>
      <c r="S60" s="73">
        <v>0</v>
      </c>
      <c r="T60" s="73">
        <v>0</v>
      </c>
    </row>
    <row r="61" spans="1:20" s="84" customFormat="1" ht="15.75" customHeight="1" x14ac:dyDescent="0.3">
      <c r="A61" s="85">
        <v>1977</v>
      </c>
      <c r="B61" s="71">
        <v>12</v>
      </c>
      <c r="C61" s="72">
        <f t="shared" si="0"/>
        <v>15</v>
      </c>
      <c r="D61" s="72">
        <f t="shared" si="1"/>
        <v>180</v>
      </c>
      <c r="E61" s="76">
        <v>1902.5</v>
      </c>
      <c r="F61" s="73">
        <f t="shared" si="2"/>
        <v>126.83333333333333</v>
      </c>
      <c r="G61" s="74">
        <f t="shared" si="3"/>
        <v>7.8843626806833107E-3</v>
      </c>
      <c r="H61" s="53"/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90</v>
      </c>
      <c r="T61" s="73">
        <v>90</v>
      </c>
    </row>
    <row r="62" spans="1:20" s="84" customFormat="1" ht="15.75" customHeight="1" x14ac:dyDescent="0.3">
      <c r="A62" s="85">
        <v>1978</v>
      </c>
      <c r="B62" s="71">
        <v>12</v>
      </c>
      <c r="C62" s="72">
        <f t="shared" si="0"/>
        <v>15</v>
      </c>
      <c r="D62" s="72">
        <f t="shared" si="1"/>
        <v>180</v>
      </c>
      <c r="E62" s="76">
        <v>1902.5</v>
      </c>
      <c r="F62" s="73">
        <f t="shared" si="2"/>
        <v>126.83333333333333</v>
      </c>
      <c r="G62" s="74">
        <f t="shared" si="3"/>
        <v>7.8843626806833107E-3</v>
      </c>
      <c r="H62" s="53"/>
      <c r="I62" s="73">
        <v>90</v>
      </c>
      <c r="J62" s="73">
        <v>90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0</v>
      </c>
      <c r="S62" s="73">
        <v>0</v>
      </c>
      <c r="T62" s="73">
        <v>0</v>
      </c>
    </row>
    <row r="63" spans="1:20" s="84" customFormat="1" ht="15.75" customHeight="1" x14ac:dyDescent="0.3">
      <c r="A63" s="85">
        <v>1979</v>
      </c>
      <c r="B63" s="71">
        <v>12</v>
      </c>
      <c r="C63" s="72">
        <f t="shared" si="0"/>
        <v>65</v>
      </c>
      <c r="D63" s="72">
        <f t="shared" si="1"/>
        <v>780</v>
      </c>
      <c r="E63" s="76">
        <v>1902.5</v>
      </c>
      <c r="F63" s="73">
        <f t="shared" si="2"/>
        <v>29.26923076923077</v>
      </c>
      <c r="G63" s="74">
        <f t="shared" si="3"/>
        <v>3.4165571616294348E-2</v>
      </c>
      <c r="H63" s="53"/>
      <c r="I63" s="73">
        <v>0</v>
      </c>
      <c r="J63" s="73">
        <v>0</v>
      </c>
      <c r="K63" s="73">
        <v>97.5</v>
      </c>
      <c r="L63" s="73">
        <v>97.5</v>
      </c>
      <c r="M63" s="73">
        <v>97.5</v>
      </c>
      <c r="N63" s="73">
        <v>97.5</v>
      </c>
      <c r="O63" s="73">
        <v>97.5</v>
      </c>
      <c r="P63" s="73">
        <v>97.5</v>
      </c>
      <c r="Q63" s="73">
        <v>97.5</v>
      </c>
      <c r="R63" s="73">
        <v>97.5</v>
      </c>
      <c r="S63" s="73">
        <v>0</v>
      </c>
      <c r="T63" s="73">
        <v>0</v>
      </c>
    </row>
    <row r="64" spans="1:20" s="84" customFormat="1" ht="15.75" customHeight="1" x14ac:dyDescent="0.3">
      <c r="A64" s="85">
        <v>1980</v>
      </c>
      <c r="B64" s="71">
        <v>12</v>
      </c>
      <c r="C64" s="72">
        <f t="shared" si="0"/>
        <v>15</v>
      </c>
      <c r="D64" s="72">
        <f t="shared" si="1"/>
        <v>180</v>
      </c>
      <c r="E64" s="76">
        <v>1902.5</v>
      </c>
      <c r="F64" s="73">
        <f t="shared" si="2"/>
        <v>126.83333333333333</v>
      </c>
      <c r="G64" s="74">
        <f t="shared" si="3"/>
        <v>7.8843626806833107E-3</v>
      </c>
      <c r="H64" s="53"/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90</v>
      </c>
      <c r="T64" s="73">
        <v>90</v>
      </c>
    </row>
    <row r="65" spans="1:20" s="84" customFormat="1" ht="15.75" customHeight="1" x14ac:dyDescent="0.3">
      <c r="A65" s="85">
        <v>1981</v>
      </c>
      <c r="B65" s="71">
        <v>12</v>
      </c>
      <c r="C65" s="72">
        <f t="shared" si="0"/>
        <v>15</v>
      </c>
      <c r="D65" s="72">
        <f t="shared" si="1"/>
        <v>180</v>
      </c>
      <c r="E65" s="76">
        <v>1902.5</v>
      </c>
      <c r="F65" s="73">
        <f t="shared" si="2"/>
        <v>126.83333333333333</v>
      </c>
      <c r="G65" s="74">
        <f t="shared" si="3"/>
        <v>7.8843626806833107E-3</v>
      </c>
      <c r="H65" s="53"/>
      <c r="I65" s="73">
        <v>90</v>
      </c>
      <c r="J65" s="73">
        <v>90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0</v>
      </c>
      <c r="R65" s="73">
        <v>0</v>
      </c>
      <c r="S65" s="73">
        <v>0</v>
      </c>
      <c r="T65" s="73">
        <v>0</v>
      </c>
    </row>
    <row r="66" spans="1:20" s="84" customFormat="1" ht="15.75" customHeight="1" x14ac:dyDescent="0.3">
      <c r="A66" s="85">
        <v>1982</v>
      </c>
      <c r="B66" s="71">
        <v>12</v>
      </c>
      <c r="C66" s="72">
        <f t="shared" si="0"/>
        <v>65</v>
      </c>
      <c r="D66" s="72">
        <f t="shared" si="1"/>
        <v>780</v>
      </c>
      <c r="E66" s="76">
        <v>1902.5</v>
      </c>
      <c r="F66" s="73">
        <f t="shared" si="2"/>
        <v>29.26923076923077</v>
      </c>
      <c r="G66" s="74">
        <f t="shared" si="3"/>
        <v>3.4165571616294348E-2</v>
      </c>
      <c r="H66" s="53"/>
      <c r="I66" s="73">
        <v>0</v>
      </c>
      <c r="J66" s="73">
        <v>0</v>
      </c>
      <c r="K66" s="73">
        <v>97.5</v>
      </c>
      <c r="L66" s="73">
        <v>97.5</v>
      </c>
      <c r="M66" s="73">
        <v>97.5</v>
      </c>
      <c r="N66" s="73">
        <v>97.5</v>
      </c>
      <c r="O66" s="73">
        <v>97.5</v>
      </c>
      <c r="P66" s="73">
        <v>97.5</v>
      </c>
      <c r="Q66" s="73">
        <v>97.5</v>
      </c>
      <c r="R66" s="73">
        <v>97.5</v>
      </c>
      <c r="S66" s="73">
        <v>0</v>
      </c>
      <c r="T66" s="73">
        <v>0</v>
      </c>
    </row>
    <row r="67" spans="1:20" s="84" customFormat="1" ht="15.75" customHeight="1" x14ac:dyDescent="0.3">
      <c r="A67" s="85">
        <v>1983</v>
      </c>
      <c r="B67" s="71">
        <v>12</v>
      </c>
      <c r="C67" s="72">
        <f t="shared" si="0"/>
        <v>8.3333333333333339</v>
      </c>
      <c r="D67" s="72">
        <f t="shared" si="1"/>
        <v>100</v>
      </c>
      <c r="E67" s="76">
        <v>1902.5</v>
      </c>
      <c r="F67" s="73">
        <f t="shared" si="2"/>
        <v>228.29999999999998</v>
      </c>
      <c r="G67" s="74">
        <f t="shared" si="3"/>
        <v>4.380201489268507E-3</v>
      </c>
      <c r="H67" s="53"/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50</v>
      </c>
      <c r="T67" s="73">
        <v>50</v>
      </c>
    </row>
    <row r="68" spans="1:20" s="84" customFormat="1" ht="15.75" customHeight="1" x14ac:dyDescent="0.3">
      <c r="A68" s="85">
        <v>1984</v>
      </c>
      <c r="B68" s="71">
        <v>12</v>
      </c>
      <c r="C68" s="72">
        <f t="shared" ref="C68:C94" si="4">D68/B68</f>
        <v>8.3333333333333339</v>
      </c>
      <c r="D68" s="72">
        <f t="shared" ref="D68:D94" si="5">SUM(I68:T68)</f>
        <v>100</v>
      </c>
      <c r="E68" s="76">
        <v>1902.5</v>
      </c>
      <c r="F68" s="73">
        <f t="shared" ref="F68:F94" si="6">E68/C68</f>
        <v>228.29999999999998</v>
      </c>
      <c r="G68" s="74">
        <f t="shared" ref="G68:G94" si="7">C68/E68</f>
        <v>4.380201489268507E-3</v>
      </c>
      <c r="H68" s="53"/>
      <c r="I68" s="73">
        <v>50</v>
      </c>
      <c r="J68" s="73">
        <v>50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3">
        <v>0</v>
      </c>
      <c r="S68" s="73">
        <v>0</v>
      </c>
      <c r="T68" s="73">
        <v>0</v>
      </c>
    </row>
    <row r="69" spans="1:20" s="84" customFormat="1" ht="15.75" customHeight="1" x14ac:dyDescent="0.3">
      <c r="A69" s="85">
        <v>1985</v>
      </c>
      <c r="B69" s="71">
        <v>12</v>
      </c>
      <c r="C69" s="72">
        <f t="shared" si="4"/>
        <v>42.833333333333336</v>
      </c>
      <c r="D69" s="72">
        <f t="shared" si="5"/>
        <v>514</v>
      </c>
      <c r="E69" s="76">
        <v>1902.5</v>
      </c>
      <c r="F69" s="73">
        <f t="shared" si="6"/>
        <v>44.416342412451357</v>
      </c>
      <c r="G69" s="74">
        <f t="shared" si="7"/>
        <v>2.2514235654840124E-2</v>
      </c>
      <c r="H69" s="53"/>
      <c r="I69" s="73">
        <v>0</v>
      </c>
      <c r="J69" s="73">
        <v>0</v>
      </c>
      <c r="K69" s="73">
        <v>53</v>
      </c>
      <c r="L69" s="73">
        <v>53</v>
      </c>
      <c r="M69" s="73">
        <v>53</v>
      </c>
      <c r="N69" s="73">
        <v>53</v>
      </c>
      <c r="O69" s="73">
        <v>53</v>
      </c>
      <c r="P69" s="73">
        <v>53</v>
      </c>
      <c r="Q69" s="73">
        <v>53</v>
      </c>
      <c r="R69" s="73">
        <v>53</v>
      </c>
      <c r="S69" s="73">
        <v>45</v>
      </c>
      <c r="T69" s="73">
        <v>45</v>
      </c>
    </row>
    <row r="70" spans="1:20" s="84" customFormat="1" ht="15.75" customHeight="1" x14ac:dyDescent="0.3">
      <c r="A70" s="85">
        <v>1986</v>
      </c>
      <c r="B70" s="71">
        <v>12</v>
      </c>
      <c r="C70" s="72">
        <f t="shared" si="4"/>
        <v>18.75</v>
      </c>
      <c r="D70" s="72">
        <f t="shared" si="5"/>
        <v>225</v>
      </c>
      <c r="E70" s="76">
        <v>1902.5</v>
      </c>
      <c r="F70" s="73">
        <f t="shared" si="6"/>
        <v>101.46666666666667</v>
      </c>
      <c r="G70" s="74">
        <f t="shared" si="7"/>
        <v>9.8554533508541393E-3</v>
      </c>
      <c r="H70" s="53"/>
      <c r="I70" s="73">
        <v>45</v>
      </c>
      <c r="J70" s="73">
        <v>45</v>
      </c>
      <c r="K70" s="73">
        <v>45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45</v>
      </c>
      <c r="T70" s="73">
        <v>45</v>
      </c>
    </row>
    <row r="71" spans="1:20" s="84" customFormat="1" ht="15.75" customHeight="1" x14ac:dyDescent="0.3">
      <c r="A71" s="85">
        <v>1987</v>
      </c>
      <c r="B71" s="71">
        <v>12</v>
      </c>
      <c r="C71" s="72">
        <f t="shared" si="4"/>
        <v>23.5</v>
      </c>
      <c r="D71" s="72">
        <f t="shared" si="5"/>
        <v>282</v>
      </c>
      <c r="E71" s="76">
        <v>1902.5</v>
      </c>
      <c r="F71" s="73">
        <f t="shared" si="6"/>
        <v>80.957446808510639</v>
      </c>
      <c r="G71" s="74">
        <f t="shared" si="7"/>
        <v>1.2352168199737189E-2</v>
      </c>
      <c r="H71" s="53"/>
      <c r="I71" s="73">
        <v>45</v>
      </c>
      <c r="J71" s="73">
        <v>45</v>
      </c>
      <c r="K71" s="73">
        <v>49.5</v>
      </c>
      <c r="L71" s="73">
        <v>49.5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73">
        <v>0</v>
      </c>
      <c r="S71" s="73">
        <v>46.5</v>
      </c>
      <c r="T71" s="73">
        <v>46.5</v>
      </c>
    </row>
    <row r="72" spans="1:20" s="84" customFormat="1" ht="15.75" customHeight="1" x14ac:dyDescent="0.3">
      <c r="A72" s="85">
        <v>1988</v>
      </c>
      <c r="B72" s="71">
        <v>12</v>
      </c>
      <c r="C72" s="72">
        <f t="shared" si="4"/>
        <v>23</v>
      </c>
      <c r="D72" s="72">
        <f t="shared" si="5"/>
        <v>276</v>
      </c>
      <c r="E72" s="76">
        <v>1902.5</v>
      </c>
      <c r="F72" s="73">
        <f t="shared" si="6"/>
        <v>82.717391304347828</v>
      </c>
      <c r="G72" s="74">
        <f t="shared" si="7"/>
        <v>1.2089356110381078E-2</v>
      </c>
      <c r="H72" s="53"/>
      <c r="I72" s="73">
        <v>46.5</v>
      </c>
      <c r="J72" s="73">
        <v>46.5</v>
      </c>
      <c r="K72" s="73">
        <v>46.5</v>
      </c>
      <c r="L72" s="73">
        <v>46.5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45</v>
      </c>
      <c r="T72" s="73">
        <v>45</v>
      </c>
    </row>
    <row r="73" spans="1:20" s="84" customFormat="1" ht="15.75" customHeight="1" x14ac:dyDescent="0.3">
      <c r="A73" s="85">
        <v>1989</v>
      </c>
      <c r="B73" s="71">
        <v>12</v>
      </c>
      <c r="C73" s="72">
        <f t="shared" si="4"/>
        <v>23.25</v>
      </c>
      <c r="D73" s="72">
        <f t="shared" si="5"/>
        <v>279</v>
      </c>
      <c r="E73" s="76">
        <v>1902.5</v>
      </c>
      <c r="F73" s="73">
        <f t="shared" si="6"/>
        <v>81.827956989247312</v>
      </c>
      <c r="G73" s="74">
        <f t="shared" si="7"/>
        <v>1.2220762155059134E-2</v>
      </c>
      <c r="H73" s="53"/>
      <c r="I73" s="73">
        <v>45</v>
      </c>
      <c r="J73" s="73">
        <v>45</v>
      </c>
      <c r="K73" s="73">
        <v>49.5</v>
      </c>
      <c r="L73" s="73">
        <v>49.5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45</v>
      </c>
      <c r="T73" s="73">
        <v>45</v>
      </c>
    </row>
    <row r="74" spans="1:20" s="84" customFormat="1" ht="15.75" customHeight="1" x14ac:dyDescent="0.3">
      <c r="A74" s="85">
        <v>1990</v>
      </c>
      <c r="B74" s="71">
        <v>12</v>
      </c>
      <c r="C74" s="72">
        <f t="shared" si="4"/>
        <v>15.75</v>
      </c>
      <c r="D74" s="72">
        <f t="shared" si="5"/>
        <v>189</v>
      </c>
      <c r="E74" s="76">
        <v>1902.5</v>
      </c>
      <c r="F74" s="73">
        <f t="shared" si="6"/>
        <v>120.7936507936508</v>
      </c>
      <c r="G74" s="74">
        <f t="shared" si="7"/>
        <v>8.2785808147174764E-3</v>
      </c>
      <c r="H74" s="53"/>
      <c r="I74" s="73">
        <v>45</v>
      </c>
      <c r="J74" s="73">
        <v>45</v>
      </c>
      <c r="K74" s="73">
        <v>49.5</v>
      </c>
      <c r="L74" s="73">
        <v>49.5</v>
      </c>
      <c r="M74" s="73">
        <v>0</v>
      </c>
      <c r="N74" s="73">
        <v>0</v>
      </c>
      <c r="O74" s="73">
        <v>0</v>
      </c>
      <c r="P74" s="73">
        <v>0</v>
      </c>
      <c r="Q74" s="73">
        <v>0</v>
      </c>
      <c r="R74" s="73">
        <v>0</v>
      </c>
      <c r="S74" s="73">
        <v>0</v>
      </c>
      <c r="T74" s="73">
        <v>0</v>
      </c>
    </row>
    <row r="75" spans="1:20" s="84" customFormat="1" ht="15.75" customHeight="1" x14ac:dyDescent="0.3">
      <c r="A75" s="85">
        <v>1991</v>
      </c>
      <c r="B75" s="71">
        <v>12</v>
      </c>
      <c r="C75" s="72">
        <f t="shared" si="4"/>
        <v>57.333333333333336</v>
      </c>
      <c r="D75" s="72">
        <f t="shared" si="5"/>
        <v>688</v>
      </c>
      <c r="E75" s="76">
        <v>1902.5</v>
      </c>
      <c r="F75" s="73">
        <f t="shared" si="6"/>
        <v>33.183139534883722</v>
      </c>
      <c r="G75" s="74">
        <f t="shared" si="7"/>
        <v>3.0135786246167324E-2</v>
      </c>
      <c r="H75" s="53"/>
      <c r="I75" s="73">
        <v>0</v>
      </c>
      <c r="J75" s="73">
        <v>0</v>
      </c>
      <c r="K75" s="73">
        <v>86</v>
      </c>
      <c r="L75" s="73">
        <v>86</v>
      </c>
      <c r="M75" s="73">
        <v>86</v>
      </c>
      <c r="N75" s="73">
        <v>86</v>
      </c>
      <c r="O75" s="73">
        <v>86</v>
      </c>
      <c r="P75" s="73">
        <v>86</v>
      </c>
      <c r="Q75" s="73">
        <v>86</v>
      </c>
      <c r="R75" s="73">
        <v>86</v>
      </c>
      <c r="S75" s="73">
        <v>0</v>
      </c>
      <c r="T75" s="73">
        <v>0</v>
      </c>
    </row>
    <row r="76" spans="1:20" s="84" customFormat="1" ht="15.75" customHeight="1" x14ac:dyDescent="0.3">
      <c r="A76" s="85">
        <v>1992</v>
      </c>
      <c r="B76" s="71">
        <v>12</v>
      </c>
      <c r="C76" s="72">
        <f t="shared" si="4"/>
        <v>0</v>
      </c>
      <c r="D76" s="72">
        <f t="shared" si="5"/>
        <v>0</v>
      </c>
      <c r="E76" s="76">
        <v>1902.5</v>
      </c>
      <c r="F76" s="73" t="e">
        <f t="shared" si="6"/>
        <v>#DIV/0!</v>
      </c>
      <c r="G76" s="74">
        <f t="shared" si="7"/>
        <v>0</v>
      </c>
      <c r="H76" s="53"/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  <c r="S76" s="73">
        <v>0</v>
      </c>
      <c r="T76" s="73">
        <v>0</v>
      </c>
    </row>
    <row r="77" spans="1:20" s="84" customFormat="1" ht="15.75" customHeight="1" x14ac:dyDescent="0.3">
      <c r="A77" s="85">
        <v>1993</v>
      </c>
      <c r="B77" s="71">
        <v>12</v>
      </c>
      <c r="C77" s="72">
        <f t="shared" si="4"/>
        <v>0</v>
      </c>
      <c r="D77" s="72">
        <f t="shared" si="5"/>
        <v>0</v>
      </c>
      <c r="E77" s="76">
        <v>1902.5</v>
      </c>
      <c r="F77" s="73" t="e">
        <f t="shared" si="6"/>
        <v>#DIV/0!</v>
      </c>
      <c r="G77" s="74">
        <f t="shared" si="7"/>
        <v>0</v>
      </c>
      <c r="H77" s="53"/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3">
        <v>0</v>
      </c>
      <c r="S77" s="73">
        <v>0</v>
      </c>
      <c r="T77" s="73">
        <v>0</v>
      </c>
    </row>
    <row r="78" spans="1:20" s="84" customFormat="1" ht="15.75" customHeight="1" x14ac:dyDescent="0.3">
      <c r="A78" s="85">
        <v>1994</v>
      </c>
      <c r="B78" s="71">
        <v>12</v>
      </c>
      <c r="C78" s="72">
        <f t="shared" si="4"/>
        <v>0</v>
      </c>
      <c r="D78" s="72">
        <f t="shared" si="5"/>
        <v>0</v>
      </c>
      <c r="E78" s="76">
        <v>1902.5</v>
      </c>
      <c r="F78" s="73" t="e">
        <f t="shared" si="6"/>
        <v>#DIV/0!</v>
      </c>
      <c r="G78" s="74">
        <f t="shared" si="7"/>
        <v>0</v>
      </c>
      <c r="H78" s="53"/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</row>
    <row r="79" spans="1:20" s="84" customFormat="1" ht="15.75" customHeight="1" x14ac:dyDescent="0.3">
      <c r="A79" s="85">
        <v>1995</v>
      </c>
      <c r="B79" s="71">
        <v>12</v>
      </c>
      <c r="C79" s="72">
        <f t="shared" si="4"/>
        <v>14.166666666666666</v>
      </c>
      <c r="D79" s="72">
        <f t="shared" si="5"/>
        <v>170</v>
      </c>
      <c r="E79" s="76">
        <v>1902.5</v>
      </c>
      <c r="F79" s="73">
        <f t="shared" si="6"/>
        <v>134.29411764705884</v>
      </c>
      <c r="G79" s="74">
        <f t="shared" si="7"/>
        <v>7.4463425317564608E-3</v>
      </c>
      <c r="H79" s="53"/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3">
        <v>0</v>
      </c>
      <c r="S79" s="73">
        <v>85</v>
      </c>
      <c r="T79" s="73">
        <v>85</v>
      </c>
    </row>
    <row r="80" spans="1:20" s="84" customFormat="1" ht="15.75" customHeight="1" x14ac:dyDescent="0.3">
      <c r="A80" s="85">
        <v>1996</v>
      </c>
      <c r="B80" s="71">
        <v>12</v>
      </c>
      <c r="C80" s="72">
        <f t="shared" si="4"/>
        <v>14.166666666666666</v>
      </c>
      <c r="D80" s="72">
        <f t="shared" si="5"/>
        <v>170</v>
      </c>
      <c r="E80" s="76">
        <v>1902.5</v>
      </c>
      <c r="F80" s="73">
        <f t="shared" si="6"/>
        <v>134.29411764705884</v>
      </c>
      <c r="G80" s="74">
        <f t="shared" si="7"/>
        <v>7.4463425317564608E-3</v>
      </c>
      <c r="H80" s="53"/>
      <c r="I80" s="73">
        <v>85</v>
      </c>
      <c r="J80" s="73">
        <v>85</v>
      </c>
      <c r="K80" s="73">
        <v>0</v>
      </c>
      <c r="L80" s="73">
        <v>0</v>
      </c>
      <c r="M80" s="73">
        <v>0</v>
      </c>
      <c r="N80" s="73">
        <v>0</v>
      </c>
      <c r="O80" s="73">
        <v>0</v>
      </c>
      <c r="P80" s="73">
        <v>0</v>
      </c>
      <c r="Q80" s="73">
        <v>0</v>
      </c>
      <c r="R80" s="73">
        <v>0</v>
      </c>
      <c r="S80" s="73">
        <v>0</v>
      </c>
      <c r="T80" s="73">
        <v>0</v>
      </c>
    </row>
    <row r="81" spans="1:20" s="84" customFormat="1" ht="15.75" customHeight="1" x14ac:dyDescent="0.3">
      <c r="A81" s="85">
        <v>1997</v>
      </c>
      <c r="B81" s="71">
        <v>12</v>
      </c>
      <c r="C81" s="72">
        <f t="shared" si="4"/>
        <v>62.666666666666664</v>
      </c>
      <c r="D81" s="72">
        <f t="shared" si="5"/>
        <v>752</v>
      </c>
      <c r="E81" s="76">
        <v>1902.5</v>
      </c>
      <c r="F81" s="73">
        <f t="shared" si="6"/>
        <v>30.35904255319149</v>
      </c>
      <c r="G81" s="74">
        <f t="shared" si="7"/>
        <v>3.2939115199299165E-2</v>
      </c>
      <c r="H81" s="53"/>
      <c r="I81" s="73">
        <v>0</v>
      </c>
      <c r="J81" s="73">
        <v>0</v>
      </c>
      <c r="K81" s="73">
        <v>94</v>
      </c>
      <c r="L81" s="73">
        <v>94</v>
      </c>
      <c r="M81" s="73">
        <v>94</v>
      </c>
      <c r="N81" s="73">
        <v>94</v>
      </c>
      <c r="O81" s="73">
        <v>94</v>
      </c>
      <c r="P81" s="73">
        <v>94</v>
      </c>
      <c r="Q81" s="73">
        <v>94</v>
      </c>
      <c r="R81" s="73">
        <v>94</v>
      </c>
      <c r="S81" s="73">
        <v>0</v>
      </c>
      <c r="T81" s="73">
        <v>0</v>
      </c>
    </row>
    <row r="82" spans="1:20" s="84" customFormat="1" ht="15.75" customHeight="1" x14ac:dyDescent="0.3">
      <c r="A82" s="85">
        <v>1998</v>
      </c>
      <c r="B82" s="71">
        <v>12</v>
      </c>
      <c r="C82" s="72">
        <f t="shared" si="4"/>
        <v>14.166666666666666</v>
      </c>
      <c r="D82" s="72">
        <f t="shared" si="5"/>
        <v>170</v>
      </c>
      <c r="E82" s="76">
        <v>1902.5</v>
      </c>
      <c r="F82" s="73">
        <f t="shared" si="6"/>
        <v>134.29411764705884</v>
      </c>
      <c r="G82" s="74">
        <f t="shared" si="7"/>
        <v>7.4463425317564608E-3</v>
      </c>
      <c r="H82" s="53"/>
      <c r="I82" s="73">
        <v>0</v>
      </c>
      <c r="J82" s="73">
        <v>0</v>
      </c>
      <c r="K82" s="73">
        <v>0</v>
      </c>
      <c r="L82" s="73">
        <v>0</v>
      </c>
      <c r="M82" s="73">
        <v>0</v>
      </c>
      <c r="N82" s="73">
        <v>0</v>
      </c>
      <c r="O82" s="73">
        <v>0</v>
      </c>
      <c r="P82" s="73">
        <v>0</v>
      </c>
      <c r="Q82" s="73">
        <v>0</v>
      </c>
      <c r="R82" s="73">
        <v>0</v>
      </c>
      <c r="S82" s="73">
        <v>85</v>
      </c>
      <c r="T82" s="73">
        <v>85</v>
      </c>
    </row>
    <row r="83" spans="1:20" s="84" customFormat="1" ht="15.75" customHeight="1" x14ac:dyDescent="0.3">
      <c r="A83" s="85">
        <v>1999</v>
      </c>
      <c r="B83" s="71">
        <v>12</v>
      </c>
      <c r="C83" s="72">
        <f t="shared" si="4"/>
        <v>14.166666666666666</v>
      </c>
      <c r="D83" s="72">
        <f t="shared" si="5"/>
        <v>170</v>
      </c>
      <c r="E83" s="76">
        <v>1902.5</v>
      </c>
      <c r="F83" s="73">
        <f t="shared" si="6"/>
        <v>134.29411764705884</v>
      </c>
      <c r="G83" s="74">
        <f t="shared" si="7"/>
        <v>7.4463425317564608E-3</v>
      </c>
      <c r="H83" s="53"/>
      <c r="I83" s="73">
        <v>85</v>
      </c>
      <c r="J83" s="73">
        <v>85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3">
        <v>0</v>
      </c>
      <c r="S83" s="73">
        <v>0</v>
      </c>
      <c r="T83" s="73">
        <v>0</v>
      </c>
    </row>
    <row r="84" spans="1:20" s="84" customFormat="1" ht="15.75" customHeight="1" x14ac:dyDescent="0.3">
      <c r="A84" s="85">
        <v>2000</v>
      </c>
      <c r="B84" s="71">
        <v>12</v>
      </c>
      <c r="C84" s="72">
        <f t="shared" si="4"/>
        <v>60.416666666666664</v>
      </c>
      <c r="D84" s="72">
        <f t="shared" si="5"/>
        <v>725</v>
      </c>
      <c r="E84" s="76">
        <v>1902.5</v>
      </c>
      <c r="F84" s="73">
        <f t="shared" si="6"/>
        <v>31.489655172413794</v>
      </c>
      <c r="G84" s="74">
        <f t="shared" si="7"/>
        <v>3.175646079719667E-2</v>
      </c>
      <c r="H84" s="53"/>
      <c r="I84" s="73">
        <v>0</v>
      </c>
      <c r="J84" s="73">
        <v>0</v>
      </c>
      <c r="K84" s="73">
        <v>92.5</v>
      </c>
      <c r="L84" s="73">
        <v>92.5</v>
      </c>
      <c r="M84" s="73">
        <v>92.5</v>
      </c>
      <c r="N84" s="73">
        <v>92.5</v>
      </c>
      <c r="O84" s="73">
        <v>92.5</v>
      </c>
      <c r="P84" s="73">
        <v>92.5</v>
      </c>
      <c r="Q84" s="73">
        <v>85</v>
      </c>
      <c r="R84" s="73">
        <v>85</v>
      </c>
      <c r="S84" s="73">
        <v>0</v>
      </c>
      <c r="T84" s="73">
        <v>0</v>
      </c>
    </row>
    <row r="85" spans="1:20" s="84" customFormat="1" ht="15.75" customHeight="1" x14ac:dyDescent="0.3">
      <c r="A85" s="85">
        <v>2001</v>
      </c>
      <c r="B85" s="71">
        <v>12</v>
      </c>
      <c r="C85" s="72">
        <f t="shared" si="4"/>
        <v>14.166666666666666</v>
      </c>
      <c r="D85" s="72">
        <f t="shared" si="5"/>
        <v>170</v>
      </c>
      <c r="E85" s="76">
        <v>1902.5</v>
      </c>
      <c r="F85" s="73">
        <f t="shared" si="6"/>
        <v>134.29411764705884</v>
      </c>
      <c r="G85" s="74">
        <f t="shared" si="7"/>
        <v>7.4463425317564608E-3</v>
      </c>
      <c r="H85" s="53"/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3">
        <v>0</v>
      </c>
      <c r="S85" s="73">
        <v>85</v>
      </c>
      <c r="T85" s="73">
        <v>85</v>
      </c>
    </row>
    <row r="86" spans="1:20" s="84" customFormat="1" ht="15.75" customHeight="1" x14ac:dyDescent="0.3">
      <c r="A86" s="85">
        <v>2002</v>
      </c>
      <c r="B86" s="71">
        <v>12</v>
      </c>
      <c r="C86" s="72">
        <f t="shared" si="4"/>
        <v>14.166666666666666</v>
      </c>
      <c r="D86" s="72">
        <f t="shared" si="5"/>
        <v>170</v>
      </c>
      <c r="E86" s="76">
        <v>1902.5</v>
      </c>
      <c r="F86" s="73">
        <f t="shared" si="6"/>
        <v>134.29411764705884</v>
      </c>
      <c r="G86" s="74">
        <f t="shared" si="7"/>
        <v>7.4463425317564608E-3</v>
      </c>
      <c r="H86" s="53"/>
      <c r="I86" s="73">
        <v>85</v>
      </c>
      <c r="J86" s="73">
        <v>85</v>
      </c>
      <c r="K86" s="73">
        <v>0</v>
      </c>
      <c r="L86" s="73">
        <v>0</v>
      </c>
      <c r="M86" s="73">
        <v>0</v>
      </c>
      <c r="N86" s="73">
        <v>0</v>
      </c>
      <c r="O86" s="73">
        <v>0</v>
      </c>
      <c r="P86" s="73">
        <v>0</v>
      </c>
      <c r="Q86" s="73">
        <v>0</v>
      </c>
      <c r="R86" s="73">
        <v>0</v>
      </c>
      <c r="S86" s="73">
        <v>0</v>
      </c>
      <c r="T86" s="73">
        <v>0</v>
      </c>
    </row>
    <row r="87" spans="1:20" s="84" customFormat="1" ht="15.75" customHeight="1" x14ac:dyDescent="0.3">
      <c r="A87" s="85">
        <v>2003</v>
      </c>
      <c r="B87" s="71">
        <v>12</v>
      </c>
      <c r="C87" s="72">
        <f t="shared" si="4"/>
        <v>61.666666666666664</v>
      </c>
      <c r="D87" s="72">
        <f t="shared" si="5"/>
        <v>740</v>
      </c>
      <c r="E87" s="76">
        <v>1902.5</v>
      </c>
      <c r="F87" s="73">
        <f t="shared" si="6"/>
        <v>30.851351351351351</v>
      </c>
      <c r="G87" s="74">
        <f t="shared" si="7"/>
        <v>3.2413491020586944E-2</v>
      </c>
      <c r="H87" s="53"/>
      <c r="I87" s="73">
        <v>0</v>
      </c>
      <c r="J87" s="73">
        <v>0</v>
      </c>
      <c r="K87" s="73">
        <v>92.5</v>
      </c>
      <c r="L87" s="73">
        <v>92.5</v>
      </c>
      <c r="M87" s="73">
        <v>92.5</v>
      </c>
      <c r="N87" s="73">
        <v>92.5</v>
      </c>
      <c r="O87" s="73">
        <v>92.5</v>
      </c>
      <c r="P87" s="73">
        <v>92.5</v>
      </c>
      <c r="Q87" s="73">
        <v>92.5</v>
      </c>
      <c r="R87" s="73">
        <v>92.5</v>
      </c>
      <c r="S87" s="73">
        <v>0</v>
      </c>
      <c r="T87" s="73">
        <v>0</v>
      </c>
    </row>
    <row r="88" spans="1:20" s="84" customFormat="1" ht="15.75" customHeight="1" x14ac:dyDescent="0.3">
      <c r="A88" s="85">
        <v>2004</v>
      </c>
      <c r="B88" s="71">
        <v>12</v>
      </c>
      <c r="C88" s="72">
        <f t="shared" si="4"/>
        <v>14.166666666666666</v>
      </c>
      <c r="D88" s="72">
        <f t="shared" si="5"/>
        <v>170</v>
      </c>
      <c r="E88" s="76">
        <v>1902.5</v>
      </c>
      <c r="F88" s="73">
        <f t="shared" si="6"/>
        <v>134.29411764705884</v>
      </c>
      <c r="G88" s="74">
        <f t="shared" si="7"/>
        <v>7.4463425317564608E-3</v>
      </c>
      <c r="H88" s="53"/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73">
        <v>0</v>
      </c>
      <c r="O88" s="73">
        <v>0</v>
      </c>
      <c r="P88" s="73">
        <v>0</v>
      </c>
      <c r="Q88" s="73">
        <v>0</v>
      </c>
      <c r="R88" s="73">
        <v>0</v>
      </c>
      <c r="S88" s="73">
        <v>85</v>
      </c>
      <c r="T88" s="73">
        <v>85</v>
      </c>
    </row>
    <row r="89" spans="1:20" s="84" customFormat="1" ht="15.75" customHeight="1" x14ac:dyDescent="0.3">
      <c r="A89" s="85">
        <v>2005</v>
      </c>
      <c r="B89" s="71">
        <v>12</v>
      </c>
      <c r="C89" s="72">
        <f t="shared" si="4"/>
        <v>14.166666666666666</v>
      </c>
      <c r="D89" s="72">
        <f t="shared" si="5"/>
        <v>170</v>
      </c>
      <c r="E89" s="76">
        <v>1902.5</v>
      </c>
      <c r="F89" s="73">
        <f t="shared" si="6"/>
        <v>134.29411764705884</v>
      </c>
      <c r="G89" s="74">
        <f t="shared" si="7"/>
        <v>7.4463425317564608E-3</v>
      </c>
      <c r="H89" s="53"/>
      <c r="I89" s="73">
        <v>85</v>
      </c>
      <c r="J89" s="73">
        <v>85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73">
        <v>0</v>
      </c>
    </row>
    <row r="90" spans="1:20" s="84" customFormat="1" ht="15.75" customHeight="1" x14ac:dyDescent="0.3">
      <c r="A90" s="85">
        <v>2006</v>
      </c>
      <c r="B90" s="71">
        <v>12</v>
      </c>
      <c r="C90" s="72">
        <f t="shared" si="4"/>
        <v>31.741666666666664</v>
      </c>
      <c r="D90" s="72">
        <f t="shared" si="5"/>
        <v>380.9</v>
      </c>
      <c r="E90" s="76">
        <v>1902.5</v>
      </c>
      <c r="F90" s="73">
        <f t="shared" si="6"/>
        <v>59.936991336308751</v>
      </c>
      <c r="G90" s="74">
        <f t="shared" si="7"/>
        <v>1.6684187472623738E-2</v>
      </c>
      <c r="H90" s="53"/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3">
        <v>0</v>
      </c>
      <c r="S90" s="73">
        <v>380.9</v>
      </c>
      <c r="T90" s="73">
        <v>0</v>
      </c>
    </row>
    <row r="91" spans="1:20" s="84" customFormat="1" ht="15.75" customHeight="1" x14ac:dyDescent="0.3">
      <c r="A91" s="85">
        <v>2007</v>
      </c>
      <c r="B91" s="71">
        <v>12</v>
      </c>
      <c r="C91" s="72">
        <f t="shared" si="4"/>
        <v>9.6916666666666664</v>
      </c>
      <c r="D91" s="72">
        <f t="shared" si="5"/>
        <v>116.3</v>
      </c>
      <c r="E91" s="76">
        <v>1902.5</v>
      </c>
      <c r="F91" s="73">
        <f t="shared" si="6"/>
        <v>196.30266552020638</v>
      </c>
      <c r="G91" s="74">
        <f t="shared" si="7"/>
        <v>5.0941743320192731E-3</v>
      </c>
      <c r="H91" s="53"/>
      <c r="I91" s="73">
        <v>0</v>
      </c>
      <c r="J91" s="73">
        <v>0</v>
      </c>
      <c r="K91" s="73">
        <v>0</v>
      </c>
      <c r="L91" s="73">
        <v>0</v>
      </c>
      <c r="M91" s="73">
        <v>0</v>
      </c>
      <c r="N91" s="73">
        <v>0</v>
      </c>
      <c r="O91" s="73">
        <v>0</v>
      </c>
      <c r="P91" s="73">
        <v>63.3</v>
      </c>
      <c r="Q91" s="73">
        <v>53</v>
      </c>
      <c r="R91" s="73">
        <v>0</v>
      </c>
      <c r="S91" s="73">
        <v>0</v>
      </c>
      <c r="T91" s="73">
        <v>0</v>
      </c>
    </row>
    <row r="92" spans="1:20" s="84" customFormat="1" ht="15.75" customHeight="1" x14ac:dyDescent="0.3">
      <c r="A92" s="85">
        <v>2008</v>
      </c>
      <c r="B92" s="71">
        <v>12</v>
      </c>
      <c r="C92" s="72">
        <f t="shared" si="4"/>
        <v>38.408333333333331</v>
      </c>
      <c r="D92" s="72">
        <f t="shared" si="5"/>
        <v>460.9</v>
      </c>
      <c r="E92" s="76">
        <v>1902.5</v>
      </c>
      <c r="F92" s="73">
        <f t="shared" si="6"/>
        <v>49.533521371230201</v>
      </c>
      <c r="G92" s="74">
        <f t="shared" si="7"/>
        <v>2.0188348664038545E-2</v>
      </c>
      <c r="H92" s="53"/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132.69999999999999</v>
      </c>
      <c r="O92" s="73">
        <v>311.60000000000002</v>
      </c>
      <c r="P92" s="73">
        <v>14.2</v>
      </c>
      <c r="Q92" s="73">
        <v>2.4</v>
      </c>
      <c r="R92" s="73">
        <v>0</v>
      </c>
      <c r="S92" s="73">
        <v>0</v>
      </c>
      <c r="T92" s="73">
        <v>0</v>
      </c>
    </row>
    <row r="93" spans="1:20" s="84" customFormat="1" ht="15.75" customHeight="1" x14ac:dyDescent="0.3">
      <c r="A93" s="85">
        <v>2009</v>
      </c>
      <c r="B93" s="71">
        <v>12</v>
      </c>
      <c r="C93" s="72">
        <f t="shared" si="4"/>
        <v>72.600000000000009</v>
      </c>
      <c r="D93" s="72">
        <f t="shared" si="5"/>
        <v>871.2</v>
      </c>
      <c r="E93" s="76">
        <v>1902.5</v>
      </c>
      <c r="F93" s="73">
        <f t="shared" si="6"/>
        <v>26.205234159779611</v>
      </c>
      <c r="G93" s="74">
        <f t="shared" si="7"/>
        <v>3.8160315374507231E-2</v>
      </c>
      <c r="H93" s="53"/>
      <c r="I93" s="73">
        <v>0</v>
      </c>
      <c r="J93" s="73">
        <v>0</v>
      </c>
      <c r="K93" s="73">
        <v>0</v>
      </c>
      <c r="L93" s="73">
        <v>247.5</v>
      </c>
      <c r="M93" s="73">
        <v>495</v>
      </c>
      <c r="N93" s="73">
        <v>66</v>
      </c>
      <c r="O93" s="73">
        <v>21.5</v>
      </c>
      <c r="P93" s="73">
        <v>22.5</v>
      </c>
      <c r="Q93" s="73">
        <v>14.6</v>
      </c>
      <c r="R93" s="73">
        <v>4.0999999999999996</v>
      </c>
      <c r="S93" s="73">
        <v>0</v>
      </c>
      <c r="T93" s="73">
        <v>0</v>
      </c>
    </row>
    <row r="94" spans="1:20" s="84" customFormat="1" ht="15.75" customHeight="1" x14ac:dyDescent="0.3">
      <c r="A94" s="85">
        <v>2010</v>
      </c>
      <c r="B94" s="71">
        <v>12</v>
      </c>
      <c r="C94" s="72">
        <f t="shared" si="4"/>
        <v>49.35</v>
      </c>
      <c r="D94" s="72">
        <f t="shared" si="5"/>
        <v>592.20000000000005</v>
      </c>
      <c r="E94" s="76">
        <v>1902.5</v>
      </c>
      <c r="F94" s="73">
        <f t="shared" si="6"/>
        <v>38.551165146909824</v>
      </c>
      <c r="G94" s="74">
        <f t="shared" si="7"/>
        <v>2.5939553219448096E-2</v>
      </c>
      <c r="H94" s="53"/>
      <c r="I94" s="73">
        <v>0</v>
      </c>
      <c r="J94" s="73">
        <v>0</v>
      </c>
      <c r="K94" s="73">
        <v>0</v>
      </c>
      <c r="L94" s="73">
        <v>0</v>
      </c>
      <c r="M94" s="73">
        <v>34.4</v>
      </c>
      <c r="N94" s="73">
        <v>382.3</v>
      </c>
      <c r="O94" s="73">
        <v>169.5</v>
      </c>
      <c r="P94" s="73">
        <v>5.2</v>
      </c>
      <c r="Q94" s="73">
        <v>0.8</v>
      </c>
      <c r="R94" s="73">
        <v>0</v>
      </c>
      <c r="S94" s="73">
        <v>0</v>
      </c>
      <c r="T94" s="73">
        <v>0</v>
      </c>
    </row>
    <row r="95" spans="1:20" s="84" customFormat="1" ht="15.75" customHeight="1" x14ac:dyDescent="0.3">
      <c r="A95" s="85">
        <v>2011</v>
      </c>
      <c r="B95" s="71">
        <v>12</v>
      </c>
      <c r="C95" s="72">
        <f t="shared" ref="C95:C104" si="8">D95/B95</f>
        <v>51.92499999999999</v>
      </c>
      <c r="D95" s="72">
        <f t="shared" ref="D95:D104" si="9">SUM(I95:T95)</f>
        <v>623.09999999999991</v>
      </c>
      <c r="E95" s="76">
        <v>1902.5</v>
      </c>
      <c r="F95" s="73">
        <f t="shared" ref="F95:F104" si="10">E95/C95</f>
        <v>36.639383726528656</v>
      </c>
      <c r="G95" s="74">
        <f t="shared" ref="G95:G104" si="11">C95/E95</f>
        <v>2.7293035479632057E-2</v>
      </c>
      <c r="I95" s="49">
        <v>0</v>
      </c>
      <c r="J95" s="49">
        <v>0</v>
      </c>
      <c r="K95" s="49">
        <v>436.4</v>
      </c>
      <c r="L95" s="49">
        <v>186.7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84" customFormat="1" ht="15.75" customHeight="1" x14ac:dyDescent="0.3">
      <c r="A96" s="85">
        <v>2012</v>
      </c>
      <c r="B96" s="71">
        <v>12</v>
      </c>
      <c r="C96" s="72">
        <f t="shared" si="8"/>
        <v>38.5</v>
      </c>
      <c r="D96" s="72">
        <f t="shared" si="9"/>
        <v>462</v>
      </c>
      <c r="E96" s="76">
        <v>1902.5</v>
      </c>
      <c r="F96" s="73">
        <f t="shared" si="10"/>
        <v>49.415584415584412</v>
      </c>
      <c r="G96" s="74">
        <f t="shared" si="11"/>
        <v>2.0236530880420499E-2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424</v>
      </c>
      <c r="O96" s="49">
        <v>18</v>
      </c>
      <c r="P96" s="49">
        <v>4</v>
      </c>
      <c r="Q96" s="49">
        <v>4</v>
      </c>
      <c r="R96" s="49">
        <v>4</v>
      </c>
      <c r="S96" s="49">
        <v>4</v>
      </c>
      <c r="T96" s="49">
        <v>4</v>
      </c>
    </row>
    <row r="97" spans="1:20" s="84" customFormat="1" ht="15.75" customHeight="1" x14ac:dyDescent="0.3">
      <c r="A97" s="85">
        <v>2013</v>
      </c>
      <c r="B97" s="71">
        <v>12</v>
      </c>
      <c r="C97" s="72">
        <f t="shared" si="8"/>
        <v>16.161666666666665</v>
      </c>
      <c r="D97" s="72">
        <f t="shared" si="9"/>
        <v>193.94</v>
      </c>
      <c r="E97" s="76">
        <v>1902.5</v>
      </c>
      <c r="F97" s="73">
        <f t="shared" si="10"/>
        <v>117.71681963493864</v>
      </c>
      <c r="G97" s="74">
        <f t="shared" si="11"/>
        <v>8.49496276828734E-3</v>
      </c>
      <c r="I97" s="49">
        <v>4</v>
      </c>
      <c r="J97" s="49">
        <v>1</v>
      </c>
      <c r="K97" s="49">
        <v>0</v>
      </c>
      <c r="L97" s="49">
        <v>0</v>
      </c>
      <c r="M97" s="49">
        <v>0</v>
      </c>
      <c r="N97" s="49">
        <v>0</v>
      </c>
      <c r="O97" s="49">
        <v>188.74</v>
      </c>
      <c r="P97" s="49">
        <v>0.2</v>
      </c>
      <c r="Q97" s="49">
        <v>0</v>
      </c>
      <c r="R97" s="49">
        <v>0</v>
      </c>
      <c r="S97" s="49">
        <v>0</v>
      </c>
      <c r="T97" s="49">
        <v>0</v>
      </c>
    </row>
    <row r="98" spans="1:20" s="84" customFormat="1" ht="15.75" customHeight="1" x14ac:dyDescent="0.3">
      <c r="A98" s="85">
        <v>2014</v>
      </c>
      <c r="B98" s="71">
        <v>12</v>
      </c>
      <c r="C98" s="72">
        <f t="shared" si="8"/>
        <v>31.599999999999998</v>
      </c>
      <c r="D98" s="72">
        <f t="shared" si="9"/>
        <v>379.2</v>
      </c>
      <c r="E98" s="76">
        <v>1902.5</v>
      </c>
      <c r="F98" s="73">
        <f t="shared" si="10"/>
        <v>60.205696202531648</v>
      </c>
      <c r="G98" s="74">
        <f t="shared" si="11"/>
        <v>1.6609724047306176E-2</v>
      </c>
      <c r="I98" s="49">
        <v>0</v>
      </c>
      <c r="J98" s="49">
        <v>0</v>
      </c>
      <c r="K98" s="49">
        <v>0</v>
      </c>
      <c r="L98" s="49">
        <v>0</v>
      </c>
      <c r="M98" s="49">
        <v>123.6</v>
      </c>
      <c r="N98" s="49">
        <v>249.1</v>
      </c>
      <c r="O98" s="49">
        <v>6.5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84" customFormat="1" ht="15.75" customHeight="1" x14ac:dyDescent="0.3">
      <c r="A99" s="85">
        <v>2015</v>
      </c>
      <c r="B99" s="71">
        <v>12</v>
      </c>
      <c r="C99" s="72">
        <f t="shared" si="8"/>
        <v>37.774999999999999</v>
      </c>
      <c r="D99" s="72">
        <f t="shared" si="9"/>
        <v>453.29999999999995</v>
      </c>
      <c r="E99" s="76">
        <v>1902.5</v>
      </c>
      <c r="F99" s="73">
        <f t="shared" si="10"/>
        <v>50.36399735274653</v>
      </c>
      <c r="G99" s="74">
        <f t="shared" si="11"/>
        <v>1.9855453350854139E-2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372.7</v>
      </c>
      <c r="O99" s="49">
        <v>80.599999999999994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84" customFormat="1" ht="15.75" customHeight="1" x14ac:dyDescent="0.3">
      <c r="A100" s="85">
        <v>2016</v>
      </c>
      <c r="B100" s="71">
        <v>12</v>
      </c>
      <c r="C100" s="72">
        <f t="shared" si="8"/>
        <v>41.708333333333336</v>
      </c>
      <c r="D100" s="72">
        <f t="shared" si="9"/>
        <v>500.5</v>
      </c>
      <c r="E100" s="76">
        <v>1902.5</v>
      </c>
      <c r="F100" s="73">
        <f t="shared" si="10"/>
        <v>45.614385614385611</v>
      </c>
      <c r="G100" s="74">
        <f t="shared" si="11"/>
        <v>2.1922908453788876E-2</v>
      </c>
      <c r="I100" s="49">
        <v>0</v>
      </c>
      <c r="J100" s="49">
        <v>0</v>
      </c>
      <c r="K100" s="49">
        <v>53.8</v>
      </c>
      <c r="L100" s="49">
        <v>434.9</v>
      </c>
      <c r="M100" s="49">
        <v>11.8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84" customFormat="1" ht="15.75" customHeight="1" x14ac:dyDescent="0.3">
      <c r="A101" s="85">
        <v>2017</v>
      </c>
      <c r="B101" s="71">
        <v>12</v>
      </c>
      <c r="C101" s="72">
        <f t="shared" si="8"/>
        <v>43.593666666666671</v>
      </c>
      <c r="D101" s="72">
        <f t="shared" si="9"/>
        <v>523.12400000000002</v>
      </c>
      <c r="E101" s="76">
        <v>1902.5</v>
      </c>
      <c r="F101" s="73">
        <f t="shared" si="10"/>
        <v>43.641660485850387</v>
      </c>
      <c r="G101" s="74">
        <f t="shared" si="11"/>
        <v>2.2913885238720982E-2</v>
      </c>
      <c r="I101" s="49">
        <v>0</v>
      </c>
      <c r="J101" s="49">
        <v>0.42799999999999999</v>
      </c>
      <c r="K101" s="49">
        <v>0</v>
      </c>
      <c r="L101" s="49">
        <v>0</v>
      </c>
      <c r="M101" s="49">
        <v>78.516000000000005</v>
      </c>
      <c r="N101" s="49">
        <v>443.83</v>
      </c>
      <c r="O101" s="49">
        <v>0.35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84" customFormat="1" ht="15.75" customHeight="1" x14ac:dyDescent="0.3">
      <c r="A102" s="85">
        <v>2018</v>
      </c>
      <c r="B102" s="71">
        <v>12</v>
      </c>
      <c r="C102" s="72">
        <f t="shared" si="8"/>
        <v>24.224999999999998</v>
      </c>
      <c r="D102" s="72">
        <f t="shared" si="9"/>
        <v>290.7</v>
      </c>
      <c r="E102" s="76">
        <v>1902.5</v>
      </c>
      <c r="F102" s="73">
        <f t="shared" si="10"/>
        <v>78.534571723426225</v>
      </c>
      <c r="G102" s="74">
        <f t="shared" si="11"/>
        <v>1.2733245729303547E-2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290.7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84" customFormat="1" ht="15.75" customHeight="1" x14ac:dyDescent="0.3">
      <c r="A103" s="85">
        <v>2019</v>
      </c>
      <c r="B103" s="71">
        <v>12</v>
      </c>
      <c r="C103" s="72">
        <f t="shared" si="8"/>
        <v>24.916666666666668</v>
      </c>
      <c r="D103" s="72">
        <f t="shared" si="9"/>
        <v>299</v>
      </c>
      <c r="E103" s="76">
        <v>1902.5</v>
      </c>
      <c r="F103" s="73">
        <f t="shared" si="10"/>
        <v>76.354515050167223</v>
      </c>
      <c r="G103" s="74">
        <f t="shared" si="11"/>
        <v>1.3096802452912835E-2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286.60000000000002</v>
      </c>
      <c r="O103" s="49">
        <v>12.4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84" customFormat="1" ht="15.75" customHeight="1" x14ac:dyDescent="0.3">
      <c r="A104" s="85">
        <v>2020</v>
      </c>
      <c r="B104" s="71">
        <v>12</v>
      </c>
      <c r="C104" s="72">
        <f t="shared" si="8"/>
        <v>23.219166666666666</v>
      </c>
      <c r="D104" s="72">
        <f t="shared" si="9"/>
        <v>278.63</v>
      </c>
      <c r="E104" s="76">
        <v>1902.5</v>
      </c>
      <c r="F104" s="73">
        <f t="shared" si="10"/>
        <v>81.93661845458135</v>
      </c>
      <c r="G104" s="74">
        <f t="shared" si="11"/>
        <v>1.220455540954884E-2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275.60000000000002</v>
      </c>
      <c r="O104" s="49">
        <v>3.03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3">
      <c r="A105" s="85">
        <v>2021</v>
      </c>
      <c r="B105" s="71">
        <v>12</v>
      </c>
      <c r="C105" s="72">
        <f t="shared" ref="C105" si="12">D105/B105</f>
        <v>32.65</v>
      </c>
      <c r="D105" s="72">
        <f t="shared" ref="D105" si="13">SUM(I105:T105)</f>
        <v>391.8</v>
      </c>
      <c r="E105" s="76">
        <v>1902.5</v>
      </c>
      <c r="F105" s="73">
        <f t="shared" ref="F105" si="14">E105/C105</f>
        <v>58.269525267993878</v>
      </c>
      <c r="G105" s="74">
        <f t="shared" ref="G105" si="15">C105/E105</f>
        <v>1.7161629434954008E-2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272.60000000000002</v>
      </c>
      <c r="S105" s="49">
        <v>119.2</v>
      </c>
      <c r="T105" s="49">
        <v>0</v>
      </c>
    </row>
    <row r="106" spans="1:20" ht="15.75" customHeight="1" x14ac:dyDescent="0.3">
      <c r="A106" s="85">
        <v>2022</v>
      </c>
      <c r="B106" s="71">
        <v>12</v>
      </c>
      <c r="C106" s="72">
        <f t="shared" ref="C106" si="16">D106/B106</f>
        <v>0</v>
      </c>
      <c r="D106" s="72">
        <f t="shared" ref="D106" si="17">SUM(I106:T106)</f>
        <v>0</v>
      </c>
      <c r="E106" s="76">
        <v>1902.5</v>
      </c>
      <c r="F106" s="73" t="e">
        <f t="shared" ref="F106" si="18">E106/C106</f>
        <v>#DIV/0!</v>
      </c>
      <c r="G106" s="74">
        <f t="shared" ref="G106" si="19">C106/E106</f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ht="15.75" customHeight="1" x14ac:dyDescent="0.3">
      <c r="A107" s="85">
        <v>2023</v>
      </c>
      <c r="B107" s="71">
        <v>12</v>
      </c>
      <c r="C107" s="72">
        <f t="shared" ref="C107" si="20">D107/B107</f>
        <v>29.216666666666669</v>
      </c>
      <c r="D107" s="72">
        <f t="shared" ref="D107" si="21">SUM(I107:T107)</f>
        <v>350.6</v>
      </c>
      <c r="E107" s="76">
        <v>1902.5</v>
      </c>
      <c r="F107" s="73">
        <f t="shared" ref="F107" si="22">E107/C107</f>
        <v>65.116942384483735</v>
      </c>
      <c r="G107" s="74">
        <f t="shared" ref="G107" si="23">C107/E107</f>
        <v>1.5356986421375384E-2</v>
      </c>
      <c r="I107" s="49">
        <v>0</v>
      </c>
      <c r="J107" s="49">
        <v>157.1</v>
      </c>
      <c r="K107" s="49">
        <v>193.5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</row>
    <row r="108" spans="1:20" ht="15.75" customHeight="1" x14ac:dyDescent="0.3">
      <c r="A108" s="85">
        <v>2024</v>
      </c>
      <c r="B108" s="71">
        <v>12</v>
      </c>
      <c r="C108" s="72">
        <f t="shared" ref="C108" si="24">D108/B108</f>
        <v>44.241397849462366</v>
      </c>
      <c r="D108" s="72">
        <f t="shared" ref="D108" si="25">SUM(I108:T108)</f>
        <v>530.89677419354837</v>
      </c>
      <c r="E108" s="76">
        <v>1902.5</v>
      </c>
      <c r="F108" s="73">
        <f t="shared" ref="F108" si="26">E108/C108</f>
        <v>43.002709961234189</v>
      </c>
      <c r="G108" s="74">
        <f t="shared" ref="G108" si="27">C108/E108</f>
        <v>2.3254348409704265E-2</v>
      </c>
      <c r="I108" s="49">
        <v>0</v>
      </c>
      <c r="J108" s="49">
        <v>0</v>
      </c>
      <c r="K108" s="49">
        <v>0</v>
      </c>
      <c r="L108" s="17">
        <v>0</v>
      </c>
      <c r="M108" s="17">
        <v>220.09677419354838</v>
      </c>
      <c r="N108" s="17">
        <v>310.8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</row>
    <row r="109" spans="1:20" ht="15.75" customHeight="1" x14ac:dyDescent="0.3">
      <c r="A109" s="85">
        <v>2025</v>
      </c>
      <c r="B109" s="71">
        <v>12</v>
      </c>
      <c r="C109" s="72">
        <f t="shared" ref="C109" si="28">D109/B109</f>
        <v>5.1916666666666664</v>
      </c>
      <c r="D109" s="72">
        <f t="shared" ref="D109" si="29">SUM(I109:T109)</f>
        <v>62.3</v>
      </c>
      <c r="E109" s="76">
        <v>1902.5</v>
      </c>
      <c r="F109" s="73">
        <f t="shared" ref="F109" si="30">E109/C109</f>
        <v>366.45264847512038</v>
      </c>
      <c r="G109" s="74">
        <f t="shared" ref="G109" si="31">C109/E109</f>
        <v>2.7288655278142793E-3</v>
      </c>
      <c r="I109" s="49">
        <v>42.6</v>
      </c>
      <c r="J109" s="49">
        <v>19.7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44140625" style="56" customWidth="1"/>
    <col min="18" max="18" width="9.109375" style="56"/>
    <col min="19" max="19" width="11.88671875" style="56" customWidth="1"/>
    <col min="20" max="20" width="12.109375" style="56" customWidth="1"/>
    <col min="21" max="16384" width="9.109375" style="40"/>
  </cols>
  <sheetData>
    <row r="1" spans="1:20" ht="15" x14ac:dyDescent="0.25">
      <c r="A1" s="120" t="s">
        <v>33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67" si="0">D4/B4</f>
        <v>273</v>
      </c>
      <c r="D4" s="51">
        <f t="shared" ref="D4:D67" si="1">SUM(I4:T4)</f>
        <v>3276</v>
      </c>
      <c r="E4" s="49">
        <v>3108.65</v>
      </c>
      <c r="F4" s="49">
        <f t="shared" ref="F4:F67" si="2">E4/C4</f>
        <v>11.386996336996337</v>
      </c>
      <c r="G4" s="52">
        <f t="shared" ref="G4:G67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 t="shared" si="0"/>
        <v>252.80833333333337</v>
      </c>
      <c r="D23" s="51">
        <f t="shared" si="1"/>
        <v>3033.7000000000003</v>
      </c>
      <c r="E23" s="49">
        <v>3108.65</v>
      </c>
      <c r="F23" s="49">
        <f t="shared" si="2"/>
        <v>12.296469657513926</v>
      </c>
      <c r="G23" s="52">
        <f>C23/E23</f>
        <v>8.1324154643762844E-2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90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si="0"/>
        <v>98.325000000000003</v>
      </c>
      <c r="D24" s="51">
        <f t="shared" si="1"/>
        <v>1179.9000000000001</v>
      </c>
      <c r="E24" s="49">
        <v>1455.86</v>
      </c>
      <c r="F24" s="49">
        <f t="shared" si="2"/>
        <v>14.806610729722857</v>
      </c>
      <c r="G24" s="52">
        <f t="shared" si="3"/>
        <v>6.7537400574231049E-2</v>
      </c>
      <c r="I24" s="49">
        <v>98</v>
      </c>
      <c r="J24" s="49">
        <v>98</v>
      </c>
      <c r="K24" s="49">
        <v>98</v>
      </c>
      <c r="L24" s="49">
        <v>104.3</v>
      </c>
      <c r="M24" s="49">
        <v>102.9</v>
      </c>
      <c r="N24" s="49">
        <v>97.2</v>
      </c>
      <c r="O24" s="49">
        <v>98</v>
      </c>
      <c r="P24" s="49">
        <v>98</v>
      </c>
      <c r="Q24" s="49">
        <v>98</v>
      </c>
      <c r="R24" s="49">
        <v>98</v>
      </c>
      <c r="S24" s="49">
        <v>91.5</v>
      </c>
      <c r="T24" s="49">
        <v>98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0"/>
        <v>103.43333333333334</v>
      </c>
      <c r="D25" s="51">
        <f t="shared" si="1"/>
        <v>1241.2</v>
      </c>
      <c r="E25" s="49">
        <v>1455.86</v>
      </c>
      <c r="F25" s="49">
        <f t="shared" si="2"/>
        <v>14.075346438930065</v>
      </c>
      <c r="G25" s="52">
        <f t="shared" si="3"/>
        <v>7.1046208655594176E-2</v>
      </c>
      <c r="I25" s="49">
        <v>98</v>
      </c>
      <c r="J25" s="49">
        <v>98</v>
      </c>
      <c r="K25" s="49">
        <v>96.4</v>
      </c>
      <c r="L25" s="49">
        <v>102.3</v>
      </c>
      <c r="M25" s="49">
        <v>108</v>
      </c>
      <c r="N25" s="49">
        <v>108</v>
      </c>
      <c r="O25" s="49">
        <v>107.7</v>
      </c>
      <c r="P25" s="49">
        <v>107</v>
      </c>
      <c r="Q25" s="49">
        <v>107</v>
      </c>
      <c r="R25" s="49">
        <v>106.8</v>
      </c>
      <c r="S25" s="49">
        <v>101</v>
      </c>
      <c r="T25" s="49">
        <v>101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0"/>
        <v>102.51666666666667</v>
      </c>
      <c r="D26" s="51">
        <f t="shared" si="1"/>
        <v>1230.2</v>
      </c>
      <c r="E26" s="49">
        <v>1455.86</v>
      </c>
      <c r="F26" s="49">
        <f t="shared" si="2"/>
        <v>14.20120305641359</v>
      </c>
      <c r="G26" s="52">
        <f t="shared" si="3"/>
        <v>7.0416569358775341E-2</v>
      </c>
      <c r="I26" s="49">
        <v>101</v>
      </c>
      <c r="J26" s="49">
        <v>101</v>
      </c>
      <c r="K26" s="49">
        <v>101</v>
      </c>
      <c r="L26" s="49">
        <v>107</v>
      </c>
      <c r="M26" s="49">
        <v>107</v>
      </c>
      <c r="N26" s="49">
        <v>106.3</v>
      </c>
      <c r="O26" s="49">
        <v>105.2</v>
      </c>
      <c r="P26" s="49">
        <v>104.2</v>
      </c>
      <c r="Q26" s="49">
        <v>104</v>
      </c>
      <c r="R26" s="49">
        <v>104</v>
      </c>
      <c r="S26" s="49">
        <v>98.6</v>
      </c>
      <c r="T26" s="49">
        <v>90.9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0"/>
        <v>91.375</v>
      </c>
      <c r="D27" s="51">
        <f t="shared" si="1"/>
        <v>1096.5</v>
      </c>
      <c r="E27" s="49">
        <v>1455.86</v>
      </c>
      <c r="F27" s="49">
        <f t="shared" si="2"/>
        <v>15.932804377564979</v>
      </c>
      <c r="G27" s="52">
        <f t="shared" si="3"/>
        <v>6.2763589905622794E-2</v>
      </c>
      <c r="I27" s="49">
        <v>88</v>
      </c>
      <c r="J27" s="49">
        <v>88</v>
      </c>
      <c r="K27" s="49">
        <v>88</v>
      </c>
      <c r="L27" s="49">
        <v>93</v>
      </c>
      <c r="M27" s="49">
        <v>93</v>
      </c>
      <c r="N27" s="49">
        <v>93</v>
      </c>
      <c r="O27" s="49">
        <v>92.6</v>
      </c>
      <c r="P27" s="49">
        <v>92</v>
      </c>
      <c r="Q27" s="49">
        <v>92</v>
      </c>
      <c r="R27" s="49">
        <v>93</v>
      </c>
      <c r="S27" s="49">
        <v>93</v>
      </c>
      <c r="T27" s="49">
        <v>90.9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0"/>
        <v>88.63333333333334</v>
      </c>
      <c r="D28" s="51">
        <f t="shared" si="1"/>
        <v>1063.6000000000001</v>
      </c>
      <c r="E28" s="49">
        <v>1455.86</v>
      </c>
      <c r="F28" s="49">
        <f t="shared" si="2"/>
        <v>16.425648740127865</v>
      </c>
      <c r="G28" s="52">
        <f t="shared" si="3"/>
        <v>6.0880396008773749E-2</v>
      </c>
      <c r="I28" s="49">
        <v>87.1</v>
      </c>
      <c r="J28" s="49">
        <v>86</v>
      </c>
      <c r="K28" s="49">
        <v>88.1</v>
      </c>
      <c r="L28" s="49">
        <v>93</v>
      </c>
      <c r="M28" s="49">
        <v>93</v>
      </c>
      <c r="N28" s="49">
        <v>93</v>
      </c>
      <c r="O28" s="49">
        <v>92.6</v>
      </c>
      <c r="P28" s="49">
        <v>93</v>
      </c>
      <c r="Q28" s="49">
        <v>93</v>
      </c>
      <c r="R28" s="49">
        <v>89.3</v>
      </c>
      <c r="S28" s="49">
        <v>77.599999999999994</v>
      </c>
      <c r="T28" s="49">
        <v>77.900000000000006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0"/>
        <v>90.25</v>
      </c>
      <c r="D29" s="51">
        <f t="shared" si="1"/>
        <v>1083</v>
      </c>
      <c r="E29" s="49">
        <v>1455.86</v>
      </c>
      <c r="F29" s="49">
        <f t="shared" si="2"/>
        <v>16.13141274238227</v>
      </c>
      <c r="G29" s="52">
        <f t="shared" si="3"/>
        <v>6.1990850768617864E-2</v>
      </c>
      <c r="I29" s="49">
        <v>89</v>
      </c>
      <c r="J29" s="49">
        <v>89</v>
      </c>
      <c r="K29" s="49">
        <v>89</v>
      </c>
      <c r="L29" s="49">
        <v>89.1</v>
      </c>
      <c r="M29" s="49">
        <v>92.1</v>
      </c>
      <c r="N29" s="49">
        <v>98</v>
      </c>
      <c r="O29" s="49">
        <v>93</v>
      </c>
      <c r="P29" s="49">
        <v>94.5</v>
      </c>
      <c r="Q29" s="49">
        <v>96</v>
      </c>
      <c r="R29" s="49">
        <v>87.8</v>
      </c>
      <c r="S29" s="49">
        <v>77.5</v>
      </c>
      <c r="T29" s="49">
        <v>88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0"/>
        <v>89.09999999999998</v>
      </c>
      <c r="D30" s="51">
        <f t="shared" si="1"/>
        <v>1069.1999999999998</v>
      </c>
      <c r="E30" s="49">
        <v>1455.86</v>
      </c>
      <c r="F30" s="49">
        <f t="shared" si="2"/>
        <v>16.339618406285076</v>
      </c>
      <c r="G30" s="52">
        <f t="shared" si="3"/>
        <v>6.1200939650790591E-2</v>
      </c>
      <c r="I30" s="49">
        <v>88</v>
      </c>
      <c r="J30" s="49">
        <v>88</v>
      </c>
      <c r="K30" s="49">
        <v>88</v>
      </c>
      <c r="L30" s="49">
        <v>93</v>
      </c>
      <c r="M30" s="49">
        <v>92.5</v>
      </c>
      <c r="N30" s="49">
        <v>92.8</v>
      </c>
      <c r="O30" s="49">
        <v>93</v>
      </c>
      <c r="P30" s="49">
        <v>93.4</v>
      </c>
      <c r="Q30" s="49">
        <v>94</v>
      </c>
      <c r="R30" s="49">
        <v>87.3</v>
      </c>
      <c r="S30" s="49">
        <v>69</v>
      </c>
      <c r="T30" s="49">
        <v>90.2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0"/>
        <v>88.966666666666683</v>
      </c>
      <c r="D31" s="51">
        <f t="shared" si="1"/>
        <v>1067.6000000000001</v>
      </c>
      <c r="E31" s="49">
        <v>1455.86</v>
      </c>
      <c r="F31" s="49">
        <f t="shared" si="2"/>
        <v>16.364106406893963</v>
      </c>
      <c r="G31" s="52">
        <f t="shared" si="3"/>
        <v>6.1109355753071512E-2</v>
      </c>
      <c r="I31" s="49">
        <v>88</v>
      </c>
      <c r="J31" s="49">
        <v>88</v>
      </c>
      <c r="K31" s="49">
        <v>86.1</v>
      </c>
      <c r="L31" s="49">
        <v>90.1</v>
      </c>
      <c r="M31" s="49">
        <v>92</v>
      </c>
      <c r="N31" s="49">
        <v>92.6</v>
      </c>
      <c r="O31" s="49">
        <v>94</v>
      </c>
      <c r="P31" s="49">
        <v>95.9</v>
      </c>
      <c r="Q31" s="49">
        <v>96</v>
      </c>
      <c r="R31" s="49">
        <v>71.2</v>
      </c>
      <c r="S31" s="49">
        <v>85.7</v>
      </c>
      <c r="T31" s="49">
        <v>88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0"/>
        <v>88.341666666666654</v>
      </c>
      <c r="D32" s="51">
        <f t="shared" si="1"/>
        <v>1060.0999999999999</v>
      </c>
      <c r="E32" s="49">
        <v>1455.86</v>
      </c>
      <c r="F32" s="49">
        <f t="shared" si="2"/>
        <v>16.4798792566739</v>
      </c>
      <c r="G32" s="52">
        <f t="shared" si="3"/>
        <v>6.0680056232513192E-2</v>
      </c>
      <c r="I32" s="49">
        <v>88</v>
      </c>
      <c r="J32" s="49">
        <v>88</v>
      </c>
      <c r="K32" s="49">
        <v>88</v>
      </c>
      <c r="L32" s="49">
        <v>93</v>
      </c>
      <c r="M32" s="49">
        <v>90.4</v>
      </c>
      <c r="N32" s="49">
        <v>92.4</v>
      </c>
      <c r="O32" s="49">
        <v>93</v>
      </c>
      <c r="P32" s="49">
        <v>93</v>
      </c>
      <c r="Q32" s="49">
        <v>92.8</v>
      </c>
      <c r="R32" s="49">
        <v>93</v>
      </c>
      <c r="S32" s="49">
        <v>60.5</v>
      </c>
      <c r="T32" s="49">
        <v>88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0"/>
        <v>89.975000000000009</v>
      </c>
      <c r="D33" s="51">
        <f t="shared" si="1"/>
        <v>1079.7</v>
      </c>
      <c r="E33" s="49">
        <v>1455.86</v>
      </c>
      <c r="F33" s="49">
        <f t="shared" si="2"/>
        <v>16.18071686579605</v>
      </c>
      <c r="G33" s="52">
        <f t="shared" si="3"/>
        <v>6.1801958979572219E-2</v>
      </c>
      <c r="I33" s="49">
        <v>88</v>
      </c>
      <c r="J33" s="49">
        <v>88</v>
      </c>
      <c r="K33" s="49">
        <v>88</v>
      </c>
      <c r="L33" s="49">
        <v>93</v>
      </c>
      <c r="M33" s="49">
        <v>93</v>
      </c>
      <c r="N33" s="49">
        <v>93</v>
      </c>
      <c r="O33" s="49">
        <v>93</v>
      </c>
      <c r="P33" s="49">
        <v>93</v>
      </c>
      <c r="Q33" s="49">
        <v>93</v>
      </c>
      <c r="R33" s="49">
        <v>93</v>
      </c>
      <c r="S33" s="49">
        <v>76.7</v>
      </c>
      <c r="T33" s="49">
        <v>88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0"/>
        <v>83.558333333333323</v>
      </c>
      <c r="D34" s="51">
        <f t="shared" si="1"/>
        <v>1002.6999999999999</v>
      </c>
      <c r="E34" s="49">
        <v>1455.86</v>
      </c>
      <c r="F34" s="49">
        <f t="shared" si="2"/>
        <v>17.423277151690439</v>
      </c>
      <c r="G34" s="52">
        <f t="shared" si="3"/>
        <v>5.7394483901840376E-2</v>
      </c>
      <c r="I34" s="49">
        <v>88</v>
      </c>
      <c r="J34" s="49">
        <v>88</v>
      </c>
      <c r="K34" s="49">
        <v>88.4</v>
      </c>
      <c r="L34" s="49">
        <v>92.4</v>
      </c>
      <c r="M34" s="49">
        <v>92</v>
      </c>
      <c r="N34" s="49">
        <v>92</v>
      </c>
      <c r="O34" s="49">
        <v>92</v>
      </c>
      <c r="P34" s="49">
        <v>92</v>
      </c>
      <c r="Q34" s="49">
        <v>92</v>
      </c>
      <c r="R34" s="49">
        <v>69.900000000000006</v>
      </c>
      <c r="S34" s="49">
        <v>58</v>
      </c>
      <c r="T34" s="49">
        <v>58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0"/>
        <v>61.483333333333341</v>
      </c>
      <c r="D35" s="51">
        <f t="shared" si="1"/>
        <v>737.80000000000007</v>
      </c>
      <c r="E35" s="49">
        <v>1455.86</v>
      </c>
      <c r="F35" s="49">
        <f t="shared" si="2"/>
        <v>23.678937381404168</v>
      </c>
      <c r="G35" s="52">
        <f t="shared" si="3"/>
        <v>4.223162483572139E-2</v>
      </c>
      <c r="I35" s="49">
        <v>58</v>
      </c>
      <c r="J35" s="49">
        <v>58</v>
      </c>
      <c r="K35" s="49">
        <v>61</v>
      </c>
      <c r="L35" s="49">
        <v>62</v>
      </c>
      <c r="M35" s="49">
        <v>61.8</v>
      </c>
      <c r="N35" s="49">
        <v>65</v>
      </c>
      <c r="O35" s="49">
        <v>65</v>
      </c>
      <c r="P35" s="49">
        <v>64.3</v>
      </c>
      <c r="Q35" s="49">
        <v>64</v>
      </c>
      <c r="R35" s="49">
        <v>64</v>
      </c>
      <c r="S35" s="49">
        <v>64</v>
      </c>
      <c r="T35" s="49">
        <v>50.7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0"/>
        <v>54.066666666666663</v>
      </c>
      <c r="D36" s="51">
        <f t="shared" si="1"/>
        <v>648.79999999999995</v>
      </c>
      <c r="E36" s="49">
        <v>1455.86</v>
      </c>
      <c r="F36" s="49">
        <f t="shared" si="2"/>
        <v>26.927127003699137</v>
      </c>
      <c r="G36" s="52">
        <f t="shared" si="3"/>
        <v>3.7137270525096279E-2</v>
      </c>
      <c r="I36" s="49">
        <v>50</v>
      </c>
      <c r="J36" s="49">
        <v>49.6</v>
      </c>
      <c r="K36" s="49">
        <v>49.4</v>
      </c>
      <c r="L36" s="49">
        <v>54.5</v>
      </c>
      <c r="M36" s="49">
        <v>55</v>
      </c>
      <c r="N36" s="49">
        <v>55</v>
      </c>
      <c r="O36" s="49">
        <v>55</v>
      </c>
      <c r="P36" s="49">
        <v>55</v>
      </c>
      <c r="Q36" s="49">
        <v>55</v>
      </c>
      <c r="R36" s="49">
        <v>55</v>
      </c>
      <c r="S36" s="49">
        <v>55.3</v>
      </c>
      <c r="T36" s="49">
        <v>60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0"/>
        <v>63.533333333333331</v>
      </c>
      <c r="D37" s="51">
        <f t="shared" si="1"/>
        <v>762.4</v>
      </c>
      <c r="E37" s="49">
        <v>1455.86</v>
      </c>
      <c r="F37" s="49">
        <f t="shared" si="2"/>
        <v>22.914900314795382</v>
      </c>
      <c r="G37" s="52">
        <f t="shared" si="3"/>
        <v>4.3639727263152593E-2</v>
      </c>
      <c r="I37" s="49">
        <v>60</v>
      </c>
      <c r="J37" s="49">
        <v>60</v>
      </c>
      <c r="K37" s="49">
        <v>58.3</v>
      </c>
      <c r="L37" s="49">
        <v>64</v>
      </c>
      <c r="M37" s="49">
        <v>64</v>
      </c>
      <c r="N37" s="49">
        <v>64</v>
      </c>
      <c r="O37" s="49">
        <v>64</v>
      </c>
      <c r="P37" s="49">
        <v>64</v>
      </c>
      <c r="Q37" s="49">
        <v>64</v>
      </c>
      <c r="R37" s="49">
        <v>64</v>
      </c>
      <c r="S37" s="49">
        <v>66.099999999999994</v>
      </c>
      <c r="T37" s="49">
        <v>70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0"/>
        <v>72.00833333333334</v>
      </c>
      <c r="D38" s="51">
        <f t="shared" si="1"/>
        <v>864.10000000000014</v>
      </c>
      <c r="E38" s="49">
        <v>1455.86</v>
      </c>
      <c r="F38" s="49">
        <f t="shared" si="2"/>
        <v>20.217937738687649</v>
      </c>
      <c r="G38" s="52">
        <f t="shared" si="3"/>
        <v>4.9461028761923084E-2</v>
      </c>
      <c r="I38" s="49">
        <v>70</v>
      </c>
      <c r="J38" s="49">
        <v>70</v>
      </c>
      <c r="K38" s="49">
        <v>72.099999999999994</v>
      </c>
      <c r="L38" s="49">
        <v>74</v>
      </c>
      <c r="M38" s="49">
        <v>68.099999999999994</v>
      </c>
      <c r="N38" s="49">
        <v>65</v>
      </c>
      <c r="O38" s="49">
        <v>65</v>
      </c>
      <c r="P38" s="49">
        <v>76.2</v>
      </c>
      <c r="Q38" s="49">
        <v>77</v>
      </c>
      <c r="R38" s="49">
        <v>77</v>
      </c>
      <c r="S38" s="49">
        <v>74.7</v>
      </c>
      <c r="T38" s="49">
        <v>75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0"/>
        <v>78.008333333333326</v>
      </c>
      <c r="D39" s="51">
        <f t="shared" si="1"/>
        <v>936.09999999999991</v>
      </c>
      <c r="E39" s="49">
        <v>1455.86</v>
      </c>
      <c r="F39" s="49">
        <f t="shared" si="2"/>
        <v>18.662877897660508</v>
      </c>
      <c r="G39" s="52">
        <f t="shared" si="3"/>
        <v>5.3582304159282716E-2</v>
      </c>
      <c r="I39" s="49">
        <v>75</v>
      </c>
      <c r="J39" s="49">
        <v>75</v>
      </c>
      <c r="K39" s="49">
        <v>76.599999999999994</v>
      </c>
      <c r="L39" s="49">
        <v>80</v>
      </c>
      <c r="M39" s="49">
        <v>82</v>
      </c>
      <c r="N39" s="49">
        <v>80</v>
      </c>
      <c r="O39" s="49">
        <v>82.8</v>
      </c>
      <c r="P39" s="49">
        <v>83</v>
      </c>
      <c r="Q39" s="49">
        <v>82</v>
      </c>
      <c r="R39" s="49">
        <v>81.900000000000006</v>
      </c>
      <c r="S39" s="49">
        <v>72.900000000000006</v>
      </c>
      <c r="T39" s="49">
        <v>64.900000000000006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0"/>
        <v>65.45</v>
      </c>
      <c r="D40" s="51">
        <f t="shared" si="1"/>
        <v>785.40000000000009</v>
      </c>
      <c r="E40" s="49">
        <v>1455.86</v>
      </c>
      <c r="F40" s="49">
        <f t="shared" si="2"/>
        <v>22.243850267379678</v>
      </c>
      <c r="G40" s="52">
        <f t="shared" si="3"/>
        <v>4.4956245792864703E-2</v>
      </c>
      <c r="I40" s="49">
        <v>74</v>
      </c>
      <c r="J40" s="49">
        <v>74.7</v>
      </c>
      <c r="K40" s="49">
        <v>75.3</v>
      </c>
      <c r="L40" s="49">
        <v>79</v>
      </c>
      <c r="M40" s="49">
        <v>71</v>
      </c>
      <c r="N40" s="49">
        <v>66</v>
      </c>
      <c r="O40" s="49">
        <v>66</v>
      </c>
      <c r="P40" s="49">
        <v>66</v>
      </c>
      <c r="Q40" s="49">
        <v>66</v>
      </c>
      <c r="R40" s="49">
        <v>54.7</v>
      </c>
      <c r="S40" s="49">
        <v>32.700000000000003</v>
      </c>
      <c r="T40" s="49">
        <v>60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0"/>
        <v>64.941666666666663</v>
      </c>
      <c r="D41" s="51">
        <f t="shared" si="1"/>
        <v>779.3</v>
      </c>
      <c r="E41" s="49">
        <v>1455.86</v>
      </c>
      <c r="F41" s="49">
        <f t="shared" si="2"/>
        <v>22.417964840241243</v>
      </c>
      <c r="G41" s="52">
        <f t="shared" si="3"/>
        <v>4.460708218281062E-2</v>
      </c>
      <c r="I41" s="49">
        <v>60</v>
      </c>
      <c r="J41" s="49">
        <v>60</v>
      </c>
      <c r="K41" s="49">
        <v>65</v>
      </c>
      <c r="L41" s="49">
        <v>64.900000000000006</v>
      </c>
      <c r="M41" s="49">
        <v>64.7</v>
      </c>
      <c r="N41" s="49">
        <v>65</v>
      </c>
      <c r="O41" s="49">
        <v>65</v>
      </c>
      <c r="P41" s="49">
        <v>65</v>
      </c>
      <c r="Q41" s="49">
        <v>65</v>
      </c>
      <c r="R41" s="49">
        <v>60.9</v>
      </c>
      <c r="S41" s="49">
        <v>68.8</v>
      </c>
      <c r="T41" s="49">
        <v>75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0"/>
        <v>77.849999999999994</v>
      </c>
      <c r="D42" s="51">
        <f t="shared" si="1"/>
        <v>934.19999999999993</v>
      </c>
      <c r="E42" s="49">
        <v>1455.86</v>
      </c>
      <c r="F42" s="49">
        <f t="shared" si="2"/>
        <v>18.700834938985228</v>
      </c>
      <c r="G42" s="52">
        <f t="shared" si="3"/>
        <v>5.347354828074128E-2</v>
      </c>
      <c r="I42" s="49">
        <v>75</v>
      </c>
      <c r="J42" s="49">
        <v>75</v>
      </c>
      <c r="K42" s="49">
        <v>80.5</v>
      </c>
      <c r="L42" s="49">
        <v>81</v>
      </c>
      <c r="M42" s="49">
        <v>81.8</v>
      </c>
      <c r="N42" s="49">
        <v>82</v>
      </c>
      <c r="O42" s="49">
        <v>82</v>
      </c>
      <c r="P42" s="49">
        <v>81.099999999999994</v>
      </c>
      <c r="Q42" s="49">
        <v>81</v>
      </c>
      <c r="R42" s="49">
        <v>81</v>
      </c>
      <c r="S42" s="49">
        <v>58.8</v>
      </c>
      <c r="T42" s="49">
        <v>75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0"/>
        <v>76.241666666666674</v>
      </c>
      <c r="D43" s="51">
        <f t="shared" si="1"/>
        <v>914.90000000000009</v>
      </c>
      <c r="E43" s="49">
        <v>1455.86</v>
      </c>
      <c r="F43" s="49">
        <f t="shared" si="2"/>
        <v>19.095332823259369</v>
      </c>
      <c r="G43" s="52">
        <f t="shared" si="3"/>
        <v>5.2368817514504611E-2</v>
      </c>
      <c r="I43" s="49">
        <v>75</v>
      </c>
      <c r="J43" s="49">
        <v>75</v>
      </c>
      <c r="K43" s="49">
        <v>85</v>
      </c>
      <c r="L43" s="49">
        <v>84.7</v>
      </c>
      <c r="M43" s="49">
        <v>84</v>
      </c>
      <c r="N43" s="49">
        <v>84</v>
      </c>
      <c r="O43" s="49">
        <v>84</v>
      </c>
      <c r="P43" s="49">
        <v>84</v>
      </c>
      <c r="Q43" s="49">
        <v>84</v>
      </c>
      <c r="R43" s="49">
        <v>75.2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0"/>
        <v>54.133333333333333</v>
      </c>
      <c r="D44" s="51">
        <f t="shared" si="1"/>
        <v>649.6</v>
      </c>
      <c r="E44" s="49">
        <v>1455.86</v>
      </c>
      <c r="F44" s="49">
        <f t="shared" si="2"/>
        <v>26.893965517241377</v>
      </c>
      <c r="G44" s="52">
        <f t="shared" si="3"/>
        <v>3.7183062473955829E-2</v>
      </c>
      <c r="I44" s="49">
        <v>50</v>
      </c>
      <c r="J44" s="49">
        <v>50</v>
      </c>
      <c r="K44" s="49">
        <v>54.6</v>
      </c>
      <c r="L44" s="49">
        <v>54.9</v>
      </c>
      <c r="M44" s="49">
        <v>55</v>
      </c>
      <c r="N44" s="49">
        <v>55</v>
      </c>
      <c r="O44" s="49">
        <v>55</v>
      </c>
      <c r="P44" s="49">
        <v>53.2</v>
      </c>
      <c r="Q44" s="49">
        <v>57.6</v>
      </c>
      <c r="R44" s="49">
        <v>51.1</v>
      </c>
      <c r="S44" s="49">
        <v>53.2</v>
      </c>
      <c r="T44" s="49">
        <v>60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0"/>
        <v>64.283333333333331</v>
      </c>
      <c r="D45" s="51">
        <f t="shared" si="1"/>
        <v>771.4</v>
      </c>
      <c r="E45" s="49">
        <v>1455.86</v>
      </c>
      <c r="F45" s="49">
        <f t="shared" si="2"/>
        <v>22.647549909255897</v>
      </c>
      <c r="G45" s="52">
        <f t="shared" si="3"/>
        <v>4.4154886687822546E-2</v>
      </c>
      <c r="I45" s="49">
        <v>60</v>
      </c>
      <c r="J45" s="49">
        <v>60</v>
      </c>
      <c r="K45" s="49">
        <v>65</v>
      </c>
      <c r="L45" s="49">
        <v>65</v>
      </c>
      <c r="M45" s="49">
        <v>65</v>
      </c>
      <c r="N45" s="49">
        <v>65</v>
      </c>
      <c r="O45" s="49">
        <v>65</v>
      </c>
      <c r="P45" s="49">
        <v>65</v>
      </c>
      <c r="Q45" s="49">
        <v>65</v>
      </c>
      <c r="R45" s="49">
        <v>50.9</v>
      </c>
      <c r="S45" s="49">
        <v>70.5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0"/>
        <v>72.86666666666666</v>
      </c>
      <c r="D46" s="51">
        <f t="shared" si="1"/>
        <v>874.4</v>
      </c>
      <c r="E46" s="49">
        <v>1455.86</v>
      </c>
      <c r="F46" s="49">
        <f t="shared" si="2"/>
        <v>19.97978042086002</v>
      </c>
      <c r="G46" s="52">
        <f t="shared" si="3"/>
        <v>5.0050600103489801E-2</v>
      </c>
      <c r="I46" s="49">
        <v>75</v>
      </c>
      <c r="J46" s="49">
        <v>75</v>
      </c>
      <c r="K46" s="49">
        <v>80</v>
      </c>
      <c r="L46" s="49">
        <v>80</v>
      </c>
      <c r="M46" s="49">
        <v>79.400000000000006</v>
      </c>
      <c r="N46" s="49">
        <v>79</v>
      </c>
      <c r="O46" s="49">
        <v>79</v>
      </c>
      <c r="P46" s="49">
        <v>79</v>
      </c>
      <c r="Q46" s="49">
        <v>79</v>
      </c>
      <c r="R46" s="49">
        <v>79</v>
      </c>
      <c r="S46" s="49">
        <v>29.9</v>
      </c>
      <c r="T46" s="49">
        <v>60.1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0"/>
        <v>53.133333333333333</v>
      </c>
      <c r="D47" s="51">
        <f t="shared" si="1"/>
        <v>637.6</v>
      </c>
      <c r="E47" s="49">
        <v>1455.86</v>
      </c>
      <c r="F47" s="49">
        <f t="shared" si="2"/>
        <v>27.400125470514428</v>
      </c>
      <c r="G47" s="52">
        <f t="shared" si="3"/>
        <v>3.649618324106256E-2</v>
      </c>
      <c r="I47" s="49">
        <v>52.8</v>
      </c>
      <c r="J47" s="49">
        <v>52.7</v>
      </c>
      <c r="K47" s="49">
        <v>52.8</v>
      </c>
      <c r="L47" s="49">
        <v>58</v>
      </c>
      <c r="M47" s="49">
        <v>60</v>
      </c>
      <c r="N47" s="49">
        <v>60</v>
      </c>
      <c r="O47" s="49">
        <v>49.5</v>
      </c>
      <c r="P47" s="49">
        <v>51.8</v>
      </c>
      <c r="Q47" s="49">
        <v>60</v>
      </c>
      <c r="R47" s="49">
        <v>60</v>
      </c>
      <c r="S47" s="49">
        <v>44</v>
      </c>
      <c r="T47" s="49">
        <v>36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0"/>
        <v>61.016666666666673</v>
      </c>
      <c r="D48" s="51">
        <f t="shared" si="1"/>
        <v>732.2</v>
      </c>
      <c r="E48" s="49">
        <v>1455.86</v>
      </c>
      <c r="F48" s="49">
        <f t="shared" si="2"/>
        <v>23.860038240917778</v>
      </c>
      <c r="G48" s="52">
        <f t="shared" si="3"/>
        <v>4.1911081193704527E-2</v>
      </c>
      <c r="I48" s="49">
        <v>60</v>
      </c>
      <c r="J48" s="49">
        <v>60.1</v>
      </c>
      <c r="K48" s="49">
        <v>64</v>
      </c>
      <c r="L48" s="49">
        <v>64</v>
      </c>
      <c r="M48" s="49">
        <v>63.6</v>
      </c>
      <c r="N48" s="49">
        <v>64</v>
      </c>
      <c r="O48" s="49">
        <v>64</v>
      </c>
      <c r="P48" s="49">
        <v>64</v>
      </c>
      <c r="Q48" s="49">
        <v>64</v>
      </c>
      <c r="R48" s="49">
        <v>60.8</v>
      </c>
      <c r="S48" s="49">
        <v>51.7</v>
      </c>
      <c r="T48" s="49">
        <v>52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0"/>
        <v>51.391666666666673</v>
      </c>
      <c r="D49" s="51">
        <f t="shared" si="1"/>
        <v>616.70000000000005</v>
      </c>
      <c r="E49" s="49">
        <v>1455.86</v>
      </c>
      <c r="F49" s="49">
        <f t="shared" si="2"/>
        <v>28.328717366628826</v>
      </c>
      <c r="G49" s="52">
        <f t="shared" si="3"/>
        <v>3.5299868577106777E-2</v>
      </c>
      <c r="I49" s="49">
        <v>52</v>
      </c>
      <c r="J49" s="49">
        <v>52</v>
      </c>
      <c r="K49" s="49">
        <v>55</v>
      </c>
      <c r="L49" s="49">
        <v>55</v>
      </c>
      <c r="M49" s="49">
        <v>55</v>
      </c>
      <c r="N49" s="49">
        <v>55</v>
      </c>
      <c r="O49" s="49">
        <v>55</v>
      </c>
      <c r="P49" s="49">
        <v>55</v>
      </c>
      <c r="Q49" s="49">
        <v>55</v>
      </c>
      <c r="R49" s="49">
        <v>44.5</v>
      </c>
      <c r="S49" s="49">
        <v>43.2</v>
      </c>
      <c r="T49" s="49">
        <v>40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0"/>
        <v>43.408333333333331</v>
      </c>
      <c r="D50" s="51">
        <f t="shared" si="1"/>
        <v>520.9</v>
      </c>
      <c r="E50" s="49">
        <v>1455.86</v>
      </c>
      <c r="F50" s="49">
        <f t="shared" si="2"/>
        <v>33.538721443655213</v>
      </c>
      <c r="G50" s="52">
        <f t="shared" si="3"/>
        <v>2.9816282701175482E-2</v>
      </c>
      <c r="I50" s="49">
        <v>40</v>
      </c>
      <c r="J50" s="49">
        <v>40</v>
      </c>
      <c r="K50" s="49">
        <v>43</v>
      </c>
      <c r="L50" s="49">
        <v>44.6</v>
      </c>
      <c r="M50" s="49">
        <v>46</v>
      </c>
      <c r="N50" s="49">
        <v>46</v>
      </c>
      <c r="O50" s="49">
        <v>46</v>
      </c>
      <c r="P50" s="49">
        <v>46</v>
      </c>
      <c r="Q50" s="49">
        <v>46</v>
      </c>
      <c r="R50" s="49">
        <v>46.7</v>
      </c>
      <c r="S50" s="49">
        <v>32.5</v>
      </c>
      <c r="T50" s="49">
        <v>44.1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0"/>
        <v>46.991666666666667</v>
      </c>
      <c r="D51" s="51">
        <f t="shared" si="1"/>
        <v>563.9</v>
      </c>
      <c r="E51" s="49">
        <v>1455.86</v>
      </c>
      <c r="F51" s="49">
        <f t="shared" si="2"/>
        <v>30.981237808122003</v>
      </c>
      <c r="G51" s="52">
        <f t="shared" si="3"/>
        <v>3.2277599952376376E-2</v>
      </c>
      <c r="I51" s="49">
        <v>46</v>
      </c>
      <c r="J51" s="49">
        <v>46</v>
      </c>
      <c r="K51" s="49">
        <v>50</v>
      </c>
      <c r="L51" s="49">
        <v>50</v>
      </c>
      <c r="M51" s="49">
        <v>50</v>
      </c>
      <c r="N51" s="49">
        <v>50</v>
      </c>
      <c r="O51" s="49">
        <v>50</v>
      </c>
      <c r="P51" s="49">
        <v>50</v>
      </c>
      <c r="Q51" s="49">
        <v>50</v>
      </c>
      <c r="R51" s="49">
        <v>50</v>
      </c>
      <c r="S51" s="49">
        <v>31.9</v>
      </c>
      <c r="T51" s="49">
        <v>40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0"/>
        <v>44.19166666666667</v>
      </c>
      <c r="D52" s="51">
        <f t="shared" si="1"/>
        <v>530.30000000000007</v>
      </c>
      <c r="E52" s="49">
        <v>1455.86</v>
      </c>
      <c r="F52" s="49">
        <f t="shared" si="2"/>
        <v>32.944220252687153</v>
      </c>
      <c r="G52" s="52">
        <f t="shared" si="3"/>
        <v>3.0354338100275213E-2</v>
      </c>
      <c r="I52" s="49">
        <v>44.8</v>
      </c>
      <c r="J52" s="49">
        <v>44.8</v>
      </c>
      <c r="K52" s="49">
        <v>48.2</v>
      </c>
      <c r="L52" s="49">
        <v>48.8</v>
      </c>
      <c r="M52" s="49">
        <v>47.7</v>
      </c>
      <c r="N52" s="49">
        <v>44</v>
      </c>
      <c r="O52" s="49">
        <v>49.2</v>
      </c>
      <c r="P52" s="49">
        <v>54</v>
      </c>
      <c r="Q52" s="49">
        <v>54</v>
      </c>
      <c r="R52" s="49">
        <v>44.6</v>
      </c>
      <c r="S52" s="49">
        <v>38.1</v>
      </c>
      <c r="T52" s="49">
        <v>12.1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0"/>
        <v>24.55</v>
      </c>
      <c r="D53" s="51">
        <f t="shared" si="1"/>
        <v>294.60000000000002</v>
      </c>
      <c r="E53" s="49">
        <v>1455.86</v>
      </c>
      <c r="F53" s="49">
        <f t="shared" si="2"/>
        <v>59.301832993890017</v>
      </c>
      <c r="G53" s="52">
        <f t="shared" si="3"/>
        <v>1.6862885167529845E-2</v>
      </c>
      <c r="I53" s="49">
        <v>24</v>
      </c>
      <c r="J53" s="49">
        <v>24</v>
      </c>
      <c r="K53" s="49">
        <v>26</v>
      </c>
      <c r="L53" s="49">
        <v>26</v>
      </c>
      <c r="M53" s="49">
        <v>26</v>
      </c>
      <c r="N53" s="49">
        <v>26</v>
      </c>
      <c r="O53" s="49">
        <v>26</v>
      </c>
      <c r="P53" s="49">
        <v>26</v>
      </c>
      <c r="Q53" s="49">
        <v>26</v>
      </c>
      <c r="R53" s="49">
        <v>26</v>
      </c>
      <c r="S53" s="49">
        <v>15.6</v>
      </c>
      <c r="T53" s="49">
        <v>23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0"/>
        <v>29.925000000000001</v>
      </c>
      <c r="D54" s="51">
        <f t="shared" si="1"/>
        <v>359.1</v>
      </c>
      <c r="E54" s="49">
        <v>1455.86</v>
      </c>
      <c r="F54" s="49">
        <f t="shared" si="2"/>
        <v>48.650292397660813</v>
      </c>
      <c r="G54" s="52">
        <f t="shared" si="3"/>
        <v>2.0554861044331189E-2</v>
      </c>
      <c r="I54" s="49">
        <v>23</v>
      </c>
      <c r="J54" s="49">
        <v>23</v>
      </c>
      <c r="K54" s="49">
        <v>23</v>
      </c>
      <c r="L54" s="49">
        <v>24.8</v>
      </c>
      <c r="M54" s="49">
        <v>25</v>
      </c>
      <c r="N54" s="49">
        <v>25</v>
      </c>
      <c r="O54" s="49">
        <v>48</v>
      </c>
      <c r="P54" s="49">
        <v>48</v>
      </c>
      <c r="Q54" s="49">
        <v>48</v>
      </c>
      <c r="R54" s="49">
        <v>25</v>
      </c>
      <c r="S54" s="49">
        <v>23.3</v>
      </c>
      <c r="T54" s="49">
        <v>23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0"/>
        <v>25.916666666666668</v>
      </c>
      <c r="D55" s="51">
        <f t="shared" si="1"/>
        <v>311</v>
      </c>
      <c r="E55" s="49">
        <v>1455.86</v>
      </c>
      <c r="F55" s="49">
        <f t="shared" si="2"/>
        <v>56.174662379421214</v>
      </c>
      <c r="G55" s="52">
        <f t="shared" si="3"/>
        <v>1.7801620119150652E-2</v>
      </c>
      <c r="I55" s="49">
        <v>23</v>
      </c>
      <c r="J55" s="49">
        <v>23</v>
      </c>
      <c r="K55" s="49">
        <v>23.7</v>
      </c>
      <c r="L55" s="49">
        <v>24</v>
      </c>
      <c r="M55" s="49">
        <v>24.2</v>
      </c>
      <c r="N55" s="49">
        <v>30</v>
      </c>
      <c r="O55" s="49">
        <v>30</v>
      </c>
      <c r="P55" s="49">
        <v>30</v>
      </c>
      <c r="Q55" s="49">
        <v>30</v>
      </c>
      <c r="R55" s="49">
        <v>20.3</v>
      </c>
      <c r="S55" s="49">
        <v>19.8</v>
      </c>
      <c r="T55" s="49">
        <v>33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0"/>
        <v>12.241666666666667</v>
      </c>
      <c r="D56" s="51">
        <f t="shared" si="1"/>
        <v>146.9</v>
      </c>
      <c r="E56" s="49">
        <v>1455.86</v>
      </c>
      <c r="F56" s="49">
        <f t="shared" si="2"/>
        <v>118.92661674608576</v>
      </c>
      <c r="G56" s="52">
        <f t="shared" si="3"/>
        <v>8.4085466093351477E-3</v>
      </c>
      <c r="I56" s="49">
        <v>33</v>
      </c>
      <c r="J56" s="49">
        <v>33</v>
      </c>
      <c r="K56" s="49">
        <v>33</v>
      </c>
      <c r="L56" s="49">
        <v>33</v>
      </c>
      <c r="M56" s="49">
        <v>14.9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0"/>
        <v>0</v>
      </c>
      <c r="D57" s="51">
        <f t="shared" si="1"/>
        <v>0</v>
      </c>
      <c r="E57" s="49">
        <v>1455.86</v>
      </c>
      <c r="F57" s="49" t="e">
        <f t="shared" si="2"/>
        <v>#DIV/0!</v>
      </c>
      <c r="G57" s="52">
        <f t="shared" si="3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0"/>
        <v>65.875</v>
      </c>
      <c r="D58" s="51">
        <f t="shared" si="1"/>
        <v>790.5</v>
      </c>
      <c r="E58" s="49">
        <v>1455.86</v>
      </c>
      <c r="F58" s="49">
        <f t="shared" si="2"/>
        <v>22.100341555977227</v>
      </c>
      <c r="G58" s="52">
        <f t="shared" si="3"/>
        <v>4.5248169466844346E-2</v>
      </c>
      <c r="I58" s="49">
        <v>0</v>
      </c>
      <c r="J58" s="49">
        <v>0</v>
      </c>
      <c r="K58" s="49">
        <v>23.3</v>
      </c>
      <c r="L58" s="49">
        <v>81</v>
      </c>
      <c r="M58" s="49">
        <v>81</v>
      </c>
      <c r="N58" s="49">
        <v>81.7</v>
      </c>
      <c r="O58" s="49">
        <v>88.5</v>
      </c>
      <c r="P58" s="49">
        <v>90</v>
      </c>
      <c r="Q58" s="49">
        <v>90</v>
      </c>
      <c r="R58" s="49">
        <v>85</v>
      </c>
      <c r="S58" s="49">
        <v>85</v>
      </c>
      <c r="T58" s="49">
        <v>85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0"/>
        <v>24.008333333333336</v>
      </c>
      <c r="D59" s="51">
        <f t="shared" si="1"/>
        <v>288.10000000000002</v>
      </c>
      <c r="E59" s="49">
        <v>1455.86</v>
      </c>
      <c r="F59" s="49">
        <f t="shared" si="2"/>
        <v>60.639777854911479</v>
      </c>
      <c r="G59" s="52">
        <f t="shared" si="3"/>
        <v>1.6490825583045991E-2</v>
      </c>
      <c r="I59" s="49">
        <v>85</v>
      </c>
      <c r="J59" s="49">
        <v>85</v>
      </c>
      <c r="K59" s="49">
        <v>88.1</v>
      </c>
      <c r="L59" s="49">
        <v>30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0"/>
        <v>114.89166666666667</v>
      </c>
      <c r="D60" s="51">
        <f t="shared" si="1"/>
        <v>1378.7</v>
      </c>
      <c r="E60" s="49">
        <v>1455.86</v>
      </c>
      <c r="F60" s="49">
        <f t="shared" si="2"/>
        <v>12.671589178211358</v>
      </c>
      <c r="G60" s="52">
        <f t="shared" si="3"/>
        <v>7.8916699865829595E-2</v>
      </c>
      <c r="I60" s="49">
        <v>0</v>
      </c>
      <c r="J60" s="49">
        <v>0</v>
      </c>
      <c r="K60" s="49">
        <v>77</v>
      </c>
      <c r="L60" s="49">
        <v>178</v>
      </c>
      <c r="M60" s="49">
        <v>178</v>
      </c>
      <c r="N60" s="49">
        <v>178</v>
      </c>
      <c r="O60" s="49">
        <v>176.2</v>
      </c>
      <c r="P60" s="49">
        <v>174</v>
      </c>
      <c r="Q60" s="49">
        <v>173</v>
      </c>
      <c r="R60" s="49">
        <v>173</v>
      </c>
      <c r="S60" s="49">
        <v>71.5</v>
      </c>
      <c r="T60" s="49">
        <v>0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0"/>
        <v>19.591666666666665</v>
      </c>
      <c r="D61" s="51">
        <f t="shared" si="1"/>
        <v>235.1</v>
      </c>
      <c r="E61" s="49">
        <v>1455.86</v>
      </c>
      <c r="F61" s="49">
        <f t="shared" si="2"/>
        <v>74.310165886856652</v>
      </c>
      <c r="G61" s="52">
        <f t="shared" si="3"/>
        <v>1.34571089711007E-2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63.1</v>
      </c>
      <c r="T61" s="49">
        <v>172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0"/>
        <v>30.183333333333334</v>
      </c>
      <c r="D62" s="51">
        <f t="shared" si="1"/>
        <v>362.2</v>
      </c>
      <c r="E62" s="49">
        <v>1455.86</v>
      </c>
      <c r="F62" s="49">
        <f t="shared" si="2"/>
        <v>48.233903920485915</v>
      </c>
      <c r="G62" s="52">
        <f t="shared" si="3"/>
        <v>2.073230484616195E-2</v>
      </c>
      <c r="I62" s="49">
        <v>172</v>
      </c>
      <c r="J62" s="49">
        <v>172</v>
      </c>
      <c r="K62" s="49">
        <v>18.2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V62" s="48"/>
    </row>
    <row r="63" spans="1:22" s="53" customFormat="1" ht="15.75" customHeight="1" x14ac:dyDescent="0.25">
      <c r="A63" s="50">
        <v>1976</v>
      </c>
      <c r="B63" s="50">
        <v>12</v>
      </c>
      <c r="C63" s="51">
        <f t="shared" si="0"/>
        <v>118.79166666666667</v>
      </c>
      <c r="D63" s="51">
        <f t="shared" si="1"/>
        <v>1425.5</v>
      </c>
      <c r="E63" s="49">
        <v>1455.86</v>
      </c>
      <c r="F63" s="49">
        <f t="shared" si="2"/>
        <v>12.255573482988424</v>
      </c>
      <c r="G63" s="52">
        <f t="shared" si="3"/>
        <v>8.1595528874113366E-2</v>
      </c>
      <c r="I63" s="49">
        <v>0</v>
      </c>
      <c r="J63" s="49">
        <v>0</v>
      </c>
      <c r="K63" s="49">
        <v>154.5</v>
      </c>
      <c r="L63" s="49">
        <v>179</v>
      </c>
      <c r="M63" s="49">
        <v>175</v>
      </c>
      <c r="N63" s="49">
        <v>175</v>
      </c>
      <c r="O63" s="49">
        <v>185.5</v>
      </c>
      <c r="P63" s="49">
        <v>185.5</v>
      </c>
      <c r="Q63" s="49">
        <v>185.5</v>
      </c>
      <c r="R63" s="49">
        <v>185.5</v>
      </c>
      <c r="S63" s="49">
        <v>0</v>
      </c>
      <c r="T63" s="49">
        <v>0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0"/>
        <v>28.666666666666668</v>
      </c>
      <c r="D64" s="51">
        <f t="shared" si="1"/>
        <v>344</v>
      </c>
      <c r="E64" s="49">
        <v>1455.86</v>
      </c>
      <c r="F64" s="49">
        <f t="shared" si="2"/>
        <v>50.785813953488365</v>
      </c>
      <c r="G64" s="52">
        <f t="shared" si="3"/>
        <v>1.9690538009607152E-2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172</v>
      </c>
      <c r="T64" s="49">
        <v>172</v>
      </c>
    </row>
    <row r="65" spans="1:22" s="53" customFormat="1" ht="15.75" customHeight="1" x14ac:dyDescent="0.25">
      <c r="A65" s="50">
        <v>1978</v>
      </c>
      <c r="B65" s="50">
        <v>12</v>
      </c>
      <c r="C65" s="51">
        <f t="shared" si="0"/>
        <v>28.666666666666668</v>
      </c>
      <c r="D65" s="51">
        <f t="shared" si="1"/>
        <v>344</v>
      </c>
      <c r="E65" s="49">
        <v>1455.86</v>
      </c>
      <c r="F65" s="49">
        <f t="shared" si="2"/>
        <v>50.785813953488365</v>
      </c>
      <c r="G65" s="52">
        <f t="shared" si="3"/>
        <v>1.9690538009607152E-2</v>
      </c>
      <c r="I65" s="49">
        <v>172</v>
      </c>
      <c r="J65" s="49">
        <v>172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0"/>
        <v>123.66666666666667</v>
      </c>
      <c r="D66" s="51">
        <f t="shared" si="1"/>
        <v>1484</v>
      </c>
      <c r="E66" s="49">
        <v>1455.86</v>
      </c>
      <c r="F66" s="49">
        <f t="shared" si="2"/>
        <v>11.772452830188678</v>
      </c>
      <c r="G66" s="52">
        <f t="shared" si="3"/>
        <v>8.4944065134468061E-2</v>
      </c>
      <c r="I66" s="49">
        <v>0</v>
      </c>
      <c r="J66" s="49">
        <v>0</v>
      </c>
      <c r="K66" s="49">
        <v>185.5</v>
      </c>
      <c r="L66" s="49">
        <v>185.5</v>
      </c>
      <c r="M66" s="49">
        <v>185.5</v>
      </c>
      <c r="N66" s="49">
        <v>185.5</v>
      </c>
      <c r="O66" s="49">
        <v>185.5</v>
      </c>
      <c r="P66" s="49">
        <v>185.5</v>
      </c>
      <c r="Q66" s="49">
        <v>185.5</v>
      </c>
      <c r="R66" s="49">
        <v>185.5</v>
      </c>
      <c r="S66" s="49">
        <v>0</v>
      </c>
      <c r="T66" s="49">
        <v>0</v>
      </c>
      <c r="V66" s="48"/>
    </row>
    <row r="67" spans="1:22" s="53" customFormat="1" ht="15.75" customHeight="1" x14ac:dyDescent="0.25">
      <c r="A67" s="50">
        <v>1980</v>
      </c>
      <c r="B67" s="50">
        <v>12</v>
      </c>
      <c r="C67" s="51">
        <f t="shared" si="0"/>
        <v>28.666666666666668</v>
      </c>
      <c r="D67" s="51">
        <f t="shared" si="1"/>
        <v>344</v>
      </c>
      <c r="E67" s="49">
        <v>1455.86</v>
      </c>
      <c r="F67" s="49">
        <f t="shared" si="2"/>
        <v>50.785813953488365</v>
      </c>
      <c r="G67" s="52">
        <f t="shared" si="3"/>
        <v>1.9690538009607152E-2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172</v>
      </c>
      <c r="T67" s="49">
        <v>172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ref="C68:C97" si="4">D68/B68</f>
        <v>28.666666666666668</v>
      </c>
      <c r="D68" s="51">
        <f t="shared" ref="D68:D97" si="5">SUM(I68:T68)</f>
        <v>344</v>
      </c>
      <c r="E68" s="49">
        <v>1455.86</v>
      </c>
      <c r="F68" s="49">
        <f t="shared" ref="F68:F97" si="6">E68/C68</f>
        <v>50.785813953488365</v>
      </c>
      <c r="G68" s="52">
        <f t="shared" ref="G68:G97" si="7">C68/E68</f>
        <v>1.9690538009607152E-2</v>
      </c>
      <c r="I68" s="49">
        <v>172</v>
      </c>
      <c r="J68" s="49">
        <v>172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123.66666666666667</v>
      </c>
      <c r="D69" s="51">
        <f t="shared" si="5"/>
        <v>1484</v>
      </c>
      <c r="E69" s="49">
        <v>1455.86</v>
      </c>
      <c r="F69" s="49">
        <f t="shared" si="6"/>
        <v>11.772452830188678</v>
      </c>
      <c r="G69" s="52">
        <f t="shared" si="7"/>
        <v>8.4944065134468061E-2</v>
      </c>
      <c r="I69" s="49">
        <v>0</v>
      </c>
      <c r="J69" s="49">
        <v>0</v>
      </c>
      <c r="K69" s="49">
        <v>185.5</v>
      </c>
      <c r="L69" s="49">
        <v>185.5</v>
      </c>
      <c r="M69" s="49">
        <v>185.5</v>
      </c>
      <c r="N69" s="49">
        <v>185.5</v>
      </c>
      <c r="O69" s="49">
        <v>185.5</v>
      </c>
      <c r="P69" s="49">
        <v>185.5</v>
      </c>
      <c r="Q69" s="49">
        <v>185.5</v>
      </c>
      <c r="R69" s="49">
        <v>185.5</v>
      </c>
      <c r="S69" s="49">
        <v>0</v>
      </c>
      <c r="T69" s="49">
        <v>0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30</v>
      </c>
      <c r="D70" s="51">
        <f t="shared" si="5"/>
        <v>360</v>
      </c>
      <c r="E70" s="49">
        <v>1455.86</v>
      </c>
      <c r="F70" s="49">
        <f t="shared" si="6"/>
        <v>48.528666666666666</v>
      </c>
      <c r="G70" s="52">
        <f t="shared" si="7"/>
        <v>2.0606376986798184E-2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180</v>
      </c>
      <c r="T70" s="49">
        <v>180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44.5</v>
      </c>
      <c r="D71" s="51">
        <f t="shared" si="5"/>
        <v>534</v>
      </c>
      <c r="E71" s="49">
        <v>1455.86</v>
      </c>
      <c r="F71" s="49">
        <f t="shared" si="6"/>
        <v>32.715955056179773</v>
      </c>
      <c r="G71" s="52">
        <f t="shared" si="7"/>
        <v>3.0566125863750637E-2</v>
      </c>
      <c r="I71" s="49">
        <v>180</v>
      </c>
      <c r="J71" s="49">
        <v>180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87</v>
      </c>
      <c r="T71" s="49">
        <v>87</v>
      </c>
    </row>
    <row r="72" spans="1:22" s="53" customFormat="1" ht="15.75" customHeight="1" x14ac:dyDescent="0.25">
      <c r="A72" s="50">
        <v>1985</v>
      </c>
      <c r="B72" s="50">
        <v>12</v>
      </c>
      <c r="C72" s="51">
        <f t="shared" si="4"/>
        <v>14.5</v>
      </c>
      <c r="D72" s="51">
        <f t="shared" si="5"/>
        <v>174</v>
      </c>
      <c r="E72" s="49">
        <v>1455.86</v>
      </c>
      <c r="F72" s="49">
        <f t="shared" si="6"/>
        <v>100.40413793103447</v>
      </c>
      <c r="G72" s="52">
        <f t="shared" si="7"/>
        <v>9.9597488769524543E-3</v>
      </c>
      <c r="I72" s="49">
        <v>87</v>
      </c>
      <c r="J72" s="49">
        <v>87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V72" s="48"/>
    </row>
    <row r="73" spans="1:22" s="53" customFormat="1" ht="15.75" customHeight="1" x14ac:dyDescent="0.3">
      <c r="A73" s="50">
        <v>1986</v>
      </c>
      <c r="B73" s="50">
        <v>12</v>
      </c>
      <c r="C73" s="51">
        <f>D73/B73</f>
        <v>14.166666666666666</v>
      </c>
      <c r="D73" s="51">
        <f t="shared" si="5"/>
        <v>170</v>
      </c>
      <c r="E73" s="49">
        <v>1455.86</v>
      </c>
      <c r="F73" s="49">
        <f t="shared" si="6"/>
        <v>102.76658823529411</v>
      </c>
      <c r="G73" s="52">
        <f t="shared" si="7"/>
        <v>9.7307891326546964E-3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85</v>
      </c>
      <c r="T73" s="49">
        <v>85</v>
      </c>
      <c r="V73" s="90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14.166666666666666</v>
      </c>
      <c r="D74" s="51">
        <f t="shared" si="5"/>
        <v>170</v>
      </c>
      <c r="E74" s="49">
        <v>1087.27</v>
      </c>
      <c r="F74" s="49">
        <f t="shared" si="6"/>
        <v>76.748470588235293</v>
      </c>
      <c r="G74" s="52">
        <f t="shared" si="7"/>
        <v>1.3029575603729217E-2</v>
      </c>
      <c r="I74" s="49">
        <v>85</v>
      </c>
      <c r="J74" s="49">
        <v>85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V74" s="48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53.083333333333336</v>
      </c>
      <c r="D75" s="51">
        <f t="shared" si="5"/>
        <v>637</v>
      </c>
      <c r="E75" s="49">
        <v>1087.27</v>
      </c>
      <c r="F75" s="49">
        <f t="shared" si="6"/>
        <v>20.48232339089482</v>
      </c>
      <c r="G75" s="52">
        <f t="shared" si="7"/>
        <v>4.882258623279713E-2</v>
      </c>
      <c r="I75" s="49">
        <v>0</v>
      </c>
      <c r="J75" s="49">
        <v>0</v>
      </c>
      <c r="K75" s="49">
        <v>91</v>
      </c>
      <c r="L75" s="49">
        <v>91</v>
      </c>
      <c r="M75" s="49">
        <v>91</v>
      </c>
      <c r="N75" s="49">
        <v>91</v>
      </c>
      <c r="O75" s="49">
        <v>91</v>
      </c>
      <c r="P75" s="49">
        <v>91</v>
      </c>
      <c r="Q75" s="49">
        <v>91</v>
      </c>
      <c r="R75" s="49"/>
      <c r="S75" s="49">
        <v>0</v>
      </c>
      <c r="T75" s="49">
        <v>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60.666666666666664</v>
      </c>
      <c r="D76" s="51">
        <f t="shared" si="5"/>
        <v>728</v>
      </c>
      <c r="E76" s="49">
        <v>1087.27</v>
      </c>
      <c r="F76" s="49">
        <f t="shared" si="6"/>
        <v>17.922032967032969</v>
      </c>
      <c r="G76" s="52">
        <f t="shared" si="7"/>
        <v>5.5797241408911E-2</v>
      </c>
      <c r="I76" s="49">
        <v>0</v>
      </c>
      <c r="J76" s="49">
        <v>0</v>
      </c>
      <c r="K76" s="49">
        <v>91</v>
      </c>
      <c r="L76" s="49">
        <v>91</v>
      </c>
      <c r="M76" s="49">
        <v>91</v>
      </c>
      <c r="N76" s="49">
        <v>91</v>
      </c>
      <c r="O76" s="49">
        <v>91</v>
      </c>
      <c r="P76" s="49">
        <v>91</v>
      </c>
      <c r="Q76" s="49">
        <v>91</v>
      </c>
      <c r="R76" s="49">
        <v>91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14.166666666666666</v>
      </c>
      <c r="D77" s="51">
        <f t="shared" si="5"/>
        <v>170</v>
      </c>
      <c r="E77" s="49">
        <v>1087.27</v>
      </c>
      <c r="F77" s="49">
        <f t="shared" si="6"/>
        <v>76.748470588235293</v>
      </c>
      <c r="G77" s="52">
        <f t="shared" si="7"/>
        <v>1.3029575603729217E-2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85</v>
      </c>
      <c r="T77" s="49">
        <v>85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14.166666666666666</v>
      </c>
      <c r="D78" s="51">
        <f t="shared" si="5"/>
        <v>170</v>
      </c>
      <c r="E78" s="49">
        <v>1087.27</v>
      </c>
      <c r="F78" s="49">
        <f t="shared" si="6"/>
        <v>76.748470588235293</v>
      </c>
      <c r="G78" s="52">
        <f t="shared" si="7"/>
        <v>1.3029575603729217E-2</v>
      </c>
      <c r="I78" s="49">
        <v>85</v>
      </c>
      <c r="J78" s="49">
        <v>85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58.333333333333336</v>
      </c>
      <c r="D79" s="51">
        <f t="shared" si="5"/>
        <v>700</v>
      </c>
      <c r="E79" s="49">
        <v>1087.27</v>
      </c>
      <c r="F79" s="49">
        <f t="shared" si="6"/>
        <v>18.638914285714286</v>
      </c>
      <c r="G79" s="52">
        <f t="shared" si="7"/>
        <v>5.3651193662414429E-2</v>
      </c>
      <c r="I79" s="49">
        <v>0</v>
      </c>
      <c r="J79" s="49">
        <v>0</v>
      </c>
      <c r="K79" s="49">
        <v>87.5</v>
      </c>
      <c r="L79" s="49">
        <v>87.5</v>
      </c>
      <c r="M79" s="49">
        <v>87.5</v>
      </c>
      <c r="N79" s="49">
        <v>87.5</v>
      </c>
      <c r="O79" s="49">
        <v>87.5</v>
      </c>
      <c r="P79" s="49">
        <v>87.5</v>
      </c>
      <c r="Q79" s="49">
        <v>87.5</v>
      </c>
      <c r="R79" s="49">
        <v>87.5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14.166666666666666</v>
      </c>
      <c r="D80" s="51">
        <f t="shared" si="5"/>
        <v>170</v>
      </c>
      <c r="E80" s="49">
        <v>1087.27</v>
      </c>
      <c r="F80" s="49">
        <f t="shared" si="6"/>
        <v>76.748470588235293</v>
      </c>
      <c r="G80" s="52">
        <f t="shared" si="7"/>
        <v>1.3029575603729217E-2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85</v>
      </c>
      <c r="T80" s="49">
        <v>85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14.166666666666666</v>
      </c>
      <c r="D81" s="51">
        <f t="shared" si="5"/>
        <v>170</v>
      </c>
      <c r="E81" s="49">
        <v>1087.27</v>
      </c>
      <c r="F81" s="49">
        <f t="shared" si="6"/>
        <v>76.748470588235293</v>
      </c>
      <c r="G81" s="52">
        <f t="shared" si="7"/>
        <v>1.3029575603729217E-2</v>
      </c>
      <c r="I81" s="49">
        <v>85</v>
      </c>
      <c r="J81" s="49">
        <v>85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62.666666666666664</v>
      </c>
      <c r="D82" s="51">
        <f t="shared" si="5"/>
        <v>752</v>
      </c>
      <c r="E82" s="49">
        <v>1087.27</v>
      </c>
      <c r="F82" s="49">
        <f t="shared" si="6"/>
        <v>17.350053191489362</v>
      </c>
      <c r="G82" s="52">
        <f t="shared" si="7"/>
        <v>5.7636710905908072E-2</v>
      </c>
      <c r="I82" s="49">
        <v>0</v>
      </c>
      <c r="J82" s="49">
        <v>0</v>
      </c>
      <c r="K82" s="49">
        <v>94</v>
      </c>
      <c r="L82" s="49">
        <v>94</v>
      </c>
      <c r="M82" s="49">
        <v>94</v>
      </c>
      <c r="N82" s="49">
        <v>94</v>
      </c>
      <c r="O82" s="49">
        <v>94</v>
      </c>
      <c r="P82" s="49">
        <v>94</v>
      </c>
      <c r="Q82" s="49">
        <v>94</v>
      </c>
      <c r="R82" s="49">
        <v>94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15.666666666666666</v>
      </c>
      <c r="D83" s="51">
        <f t="shared" si="5"/>
        <v>188</v>
      </c>
      <c r="E83" s="49">
        <v>1087.27</v>
      </c>
      <c r="F83" s="49">
        <f t="shared" si="6"/>
        <v>69.400212765957448</v>
      </c>
      <c r="G83" s="52">
        <f t="shared" si="7"/>
        <v>1.4409177726477018E-2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94</v>
      </c>
      <c r="T83" s="49">
        <v>94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15.666666666666666</v>
      </c>
      <c r="D84" s="51">
        <f t="shared" si="5"/>
        <v>188</v>
      </c>
      <c r="E84" s="49">
        <v>1087.27</v>
      </c>
      <c r="F84" s="49">
        <f t="shared" si="6"/>
        <v>69.400212765957448</v>
      </c>
      <c r="G84" s="52">
        <f t="shared" si="7"/>
        <v>1.4409177726477018E-2</v>
      </c>
      <c r="I84" s="49">
        <v>94</v>
      </c>
      <c r="J84" s="49">
        <v>94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62.666666666666664</v>
      </c>
      <c r="D85" s="51">
        <f t="shared" si="5"/>
        <v>752</v>
      </c>
      <c r="E85" s="49">
        <v>1087.27</v>
      </c>
      <c r="F85" s="49">
        <f t="shared" si="6"/>
        <v>17.350053191489362</v>
      </c>
      <c r="G85" s="52">
        <f t="shared" si="7"/>
        <v>5.7636710905908072E-2</v>
      </c>
      <c r="I85" s="49">
        <v>0</v>
      </c>
      <c r="J85" s="49">
        <v>0</v>
      </c>
      <c r="K85" s="49">
        <v>94</v>
      </c>
      <c r="L85" s="49">
        <v>94</v>
      </c>
      <c r="M85" s="49">
        <v>94</v>
      </c>
      <c r="N85" s="49">
        <v>94</v>
      </c>
      <c r="O85" s="49">
        <v>94</v>
      </c>
      <c r="P85" s="49">
        <v>94</v>
      </c>
      <c r="Q85" s="49">
        <v>94</v>
      </c>
      <c r="R85" s="49">
        <v>94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14.166666666666666</v>
      </c>
      <c r="D86" s="51">
        <f t="shared" si="5"/>
        <v>170</v>
      </c>
      <c r="E86" s="49">
        <v>1087.27</v>
      </c>
      <c r="F86" s="49">
        <f t="shared" si="6"/>
        <v>76.748470588235293</v>
      </c>
      <c r="G86" s="52">
        <f t="shared" si="7"/>
        <v>1.3029575603729217E-2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85</v>
      </c>
      <c r="T86" s="49">
        <v>85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14.166666666666666</v>
      </c>
      <c r="D87" s="51">
        <f t="shared" si="5"/>
        <v>170</v>
      </c>
      <c r="E87" s="49">
        <v>1087.27</v>
      </c>
      <c r="F87" s="49">
        <f t="shared" si="6"/>
        <v>76.748470588235293</v>
      </c>
      <c r="G87" s="52">
        <f t="shared" si="7"/>
        <v>1.3029575603729217E-2</v>
      </c>
      <c r="I87" s="49">
        <v>85</v>
      </c>
      <c r="J87" s="49">
        <v>85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4"/>
        <v>60.666666666666664</v>
      </c>
      <c r="D88" s="51">
        <f t="shared" si="5"/>
        <v>728</v>
      </c>
      <c r="E88" s="49">
        <v>1087.27</v>
      </c>
      <c r="F88" s="49">
        <f t="shared" si="6"/>
        <v>17.922032967032969</v>
      </c>
      <c r="G88" s="52">
        <f t="shared" si="7"/>
        <v>5.5797241408911E-2</v>
      </c>
      <c r="I88" s="49">
        <v>0</v>
      </c>
      <c r="J88" s="49">
        <v>0</v>
      </c>
      <c r="K88" s="49">
        <v>91</v>
      </c>
      <c r="L88" s="49">
        <v>91</v>
      </c>
      <c r="M88" s="49">
        <v>91</v>
      </c>
      <c r="N88" s="49">
        <v>91</v>
      </c>
      <c r="O88" s="49">
        <v>91</v>
      </c>
      <c r="P88" s="49">
        <v>91</v>
      </c>
      <c r="Q88" s="49">
        <v>91</v>
      </c>
      <c r="R88" s="49">
        <v>91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4"/>
        <v>14.166666666666666</v>
      </c>
      <c r="D89" s="51">
        <f t="shared" si="5"/>
        <v>170</v>
      </c>
      <c r="E89" s="49">
        <v>1087.27</v>
      </c>
      <c r="F89" s="49">
        <f t="shared" si="6"/>
        <v>76.748470588235293</v>
      </c>
      <c r="G89" s="52">
        <f t="shared" si="7"/>
        <v>1.3029575603729217E-2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85</v>
      </c>
      <c r="T89" s="49">
        <v>85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4"/>
        <v>14.166666666666666</v>
      </c>
      <c r="D90" s="51">
        <f t="shared" si="5"/>
        <v>170</v>
      </c>
      <c r="E90" s="49">
        <v>1087.27</v>
      </c>
      <c r="F90" s="49">
        <f t="shared" si="6"/>
        <v>76.748470588235293</v>
      </c>
      <c r="G90" s="52">
        <f t="shared" si="7"/>
        <v>1.3029575603729217E-2</v>
      </c>
      <c r="I90" s="49">
        <v>85</v>
      </c>
      <c r="J90" s="49">
        <v>85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4"/>
        <v>60.666666666666664</v>
      </c>
      <c r="D91" s="51">
        <f t="shared" si="5"/>
        <v>728</v>
      </c>
      <c r="E91" s="49">
        <v>1087.27</v>
      </c>
      <c r="F91" s="49">
        <f t="shared" si="6"/>
        <v>17.922032967032969</v>
      </c>
      <c r="G91" s="52">
        <f t="shared" si="7"/>
        <v>5.5797241408911E-2</v>
      </c>
      <c r="I91" s="49">
        <v>0</v>
      </c>
      <c r="J91" s="49">
        <v>0</v>
      </c>
      <c r="K91" s="49">
        <v>91</v>
      </c>
      <c r="L91" s="49">
        <v>91</v>
      </c>
      <c r="M91" s="49">
        <v>91</v>
      </c>
      <c r="N91" s="49">
        <v>91</v>
      </c>
      <c r="O91" s="49">
        <v>91</v>
      </c>
      <c r="P91" s="49">
        <v>91</v>
      </c>
      <c r="Q91" s="49">
        <v>91</v>
      </c>
      <c r="R91" s="49">
        <v>91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4"/>
        <v>14.166666666666666</v>
      </c>
      <c r="D92" s="51">
        <f t="shared" si="5"/>
        <v>170</v>
      </c>
      <c r="E92" s="49">
        <v>1087.27</v>
      </c>
      <c r="F92" s="49">
        <f t="shared" si="6"/>
        <v>76.748470588235293</v>
      </c>
      <c r="G92" s="52">
        <f t="shared" si="7"/>
        <v>1.3029575603729217E-2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85</v>
      </c>
      <c r="T92" s="49">
        <v>85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4"/>
        <v>0</v>
      </c>
      <c r="D93" s="51">
        <f t="shared" si="5"/>
        <v>0</v>
      </c>
      <c r="E93" s="49">
        <v>1087.27</v>
      </c>
      <c r="F93" s="49" t="e">
        <f t="shared" si="6"/>
        <v>#DIV/0!</v>
      </c>
      <c r="G93" s="52">
        <f t="shared" si="7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4"/>
        <v>76.058333333333323</v>
      </c>
      <c r="D94" s="51">
        <f t="shared" si="5"/>
        <v>912.69999999999993</v>
      </c>
      <c r="E94" s="49">
        <v>1087.27</v>
      </c>
      <c r="F94" s="49">
        <f t="shared" si="6"/>
        <v>14.295212008326944</v>
      </c>
      <c r="G94" s="52">
        <f t="shared" si="7"/>
        <v>6.9953492079550914E-2</v>
      </c>
      <c r="I94" s="49">
        <v>0</v>
      </c>
      <c r="J94" s="49">
        <v>0</v>
      </c>
      <c r="K94" s="49">
        <v>409.2</v>
      </c>
      <c r="L94" s="49">
        <v>36.200000000000003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364.7</v>
      </c>
      <c r="T94" s="49">
        <v>102.6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4"/>
        <v>12.549999999999999</v>
      </c>
      <c r="D95" s="51">
        <f t="shared" si="5"/>
        <v>150.6</v>
      </c>
      <c r="E95" s="49">
        <v>1087.27</v>
      </c>
      <c r="F95" s="49">
        <f t="shared" si="6"/>
        <v>86.635059760956182</v>
      </c>
      <c r="G95" s="52">
        <f t="shared" si="7"/>
        <v>1.1542671093656589E-2</v>
      </c>
      <c r="I95" s="49">
        <v>0.1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150.5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4"/>
        <v>15.141666666666666</v>
      </c>
      <c r="D96" s="51">
        <f t="shared" si="5"/>
        <v>181.7</v>
      </c>
      <c r="E96" s="49">
        <v>1087.27</v>
      </c>
      <c r="F96" s="49">
        <f t="shared" si="6"/>
        <v>71.80649422124381</v>
      </c>
      <c r="G96" s="52">
        <f t="shared" si="7"/>
        <v>1.3926316983515288E-2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169.2</v>
      </c>
      <c r="Q96" s="49">
        <v>12.5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4"/>
        <v>27.116666666666664</v>
      </c>
      <c r="D97" s="51">
        <f t="shared" si="5"/>
        <v>325.39999999999998</v>
      </c>
      <c r="E97" s="49">
        <v>1087.27</v>
      </c>
      <c r="F97" s="49">
        <f t="shared" si="6"/>
        <v>40.096004917025205</v>
      </c>
      <c r="G97" s="52">
        <f t="shared" si="7"/>
        <v>2.4940140596785218E-2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269.39999999999998</v>
      </c>
      <c r="S97" s="49">
        <v>56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8">D98/B98</f>
        <v>17.983333333333334</v>
      </c>
      <c r="D98" s="51">
        <f t="shared" ref="D98:D107" si="9">SUM(I98:T98)</f>
        <v>215.8</v>
      </c>
      <c r="E98" s="49">
        <v>1087.27</v>
      </c>
      <c r="F98" s="49">
        <f t="shared" ref="F98:F107" si="10">E98/C98</f>
        <v>60.459870250231695</v>
      </c>
      <c r="G98" s="52">
        <f t="shared" ref="G98:G107" si="11">C98/E98</f>
        <v>1.6539896560498622E-2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195</v>
      </c>
      <c r="P98" s="49">
        <v>16</v>
      </c>
      <c r="Q98" s="49">
        <v>4.8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8"/>
        <v>26.891666666666666</v>
      </c>
      <c r="D99" s="51">
        <f t="shared" si="9"/>
        <v>322.7</v>
      </c>
      <c r="E99" s="49">
        <v>1087.27</v>
      </c>
      <c r="F99" s="49">
        <f t="shared" si="10"/>
        <v>40.431484350790207</v>
      </c>
      <c r="G99" s="52">
        <f t="shared" si="11"/>
        <v>2.4733200278373051E-2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65.3</v>
      </c>
      <c r="R99" s="49">
        <v>257.39999999999998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8"/>
        <v>38.5</v>
      </c>
      <c r="D100" s="51">
        <f t="shared" si="9"/>
        <v>462</v>
      </c>
      <c r="E100" s="49">
        <v>1087.27</v>
      </c>
      <c r="F100" s="49">
        <f t="shared" si="10"/>
        <v>28.240779220779221</v>
      </c>
      <c r="G100" s="52">
        <f t="shared" si="11"/>
        <v>3.5409787817193519E-2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241.8</v>
      </c>
      <c r="R100" s="49">
        <v>220.2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8"/>
        <v>18.541666666666668</v>
      </c>
      <c r="D101" s="51">
        <f t="shared" si="9"/>
        <v>222.5</v>
      </c>
      <c r="E101" s="49">
        <v>1087.27</v>
      </c>
      <c r="F101" s="49">
        <f t="shared" si="10"/>
        <v>58.6392808988764</v>
      </c>
      <c r="G101" s="52">
        <f t="shared" si="11"/>
        <v>1.7053415128410302E-2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199.1</v>
      </c>
      <c r="R101" s="49">
        <v>23.4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8"/>
        <v>42.466666666666669</v>
      </c>
      <c r="D102" s="51">
        <f t="shared" si="9"/>
        <v>509.6</v>
      </c>
      <c r="E102" s="49">
        <v>1087.27</v>
      </c>
      <c r="F102" s="49">
        <f t="shared" si="10"/>
        <v>25.602904238618521</v>
      </c>
      <c r="G102" s="52">
        <f t="shared" si="11"/>
        <v>3.9058068986237704E-2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140.80000000000001</v>
      </c>
      <c r="R102" s="49">
        <v>2.2000000000000002</v>
      </c>
      <c r="S102" s="49">
        <v>0</v>
      </c>
      <c r="T102" s="49">
        <v>366.6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8"/>
        <v>5.5249999999999995</v>
      </c>
      <c r="D103" s="51">
        <f t="shared" si="9"/>
        <v>66.3</v>
      </c>
      <c r="E103" s="49">
        <v>1087.27</v>
      </c>
      <c r="F103" s="49">
        <f t="shared" si="10"/>
        <v>196.79095022624435</v>
      </c>
      <c r="G103" s="52">
        <f t="shared" si="11"/>
        <v>5.081534485454395E-3</v>
      </c>
      <c r="I103" s="49">
        <v>66.3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8"/>
        <v>27.480833333333333</v>
      </c>
      <c r="D104" s="51">
        <f t="shared" si="9"/>
        <v>329.77</v>
      </c>
      <c r="E104" s="49">
        <v>1087.27</v>
      </c>
      <c r="F104" s="49">
        <f t="shared" si="10"/>
        <v>39.564666282560573</v>
      </c>
      <c r="G104" s="52">
        <f t="shared" si="11"/>
        <v>2.5275077334363436E-2</v>
      </c>
      <c r="I104" s="49">
        <v>62.06</v>
      </c>
      <c r="J104" s="49">
        <v>267.70999999999998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8"/>
        <v>29.883333333333336</v>
      </c>
      <c r="D105" s="51">
        <f t="shared" si="9"/>
        <v>358.6</v>
      </c>
      <c r="E105" s="49">
        <v>1087.27</v>
      </c>
      <c r="F105" s="49">
        <f t="shared" si="10"/>
        <v>36.383825989960954</v>
      </c>
      <c r="G105" s="52">
        <f t="shared" si="11"/>
        <v>2.7484740067631165E-2</v>
      </c>
      <c r="I105" s="49">
        <v>0</v>
      </c>
      <c r="J105" s="49">
        <v>149.1</v>
      </c>
      <c r="K105" s="49">
        <v>209.5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8"/>
        <v>25.833333333333332</v>
      </c>
      <c r="D106" s="51">
        <f t="shared" si="9"/>
        <v>310</v>
      </c>
      <c r="E106" s="49">
        <v>1087.27</v>
      </c>
      <c r="F106" s="49">
        <f t="shared" si="10"/>
        <v>42.087870967741935</v>
      </c>
      <c r="G106" s="52">
        <f t="shared" si="11"/>
        <v>2.3759814336212104E-2</v>
      </c>
      <c r="I106" s="49">
        <v>0</v>
      </c>
      <c r="J106" s="49">
        <v>107.7</v>
      </c>
      <c r="K106" s="49">
        <v>202.3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8"/>
        <v>55.541666666666657</v>
      </c>
      <c r="D107" s="51">
        <f t="shared" si="9"/>
        <v>666.49999999999989</v>
      </c>
      <c r="E107" s="49">
        <v>1087.27</v>
      </c>
      <c r="F107" s="49">
        <f t="shared" si="10"/>
        <v>19.575753938484624</v>
      </c>
      <c r="G107" s="52">
        <f t="shared" si="11"/>
        <v>5.1083600822856012E-2</v>
      </c>
      <c r="I107" s="49">
        <v>30.9</v>
      </c>
      <c r="J107" s="49">
        <v>488.9</v>
      </c>
      <c r="K107" s="49">
        <v>145.4</v>
      </c>
      <c r="L107" s="49">
        <v>1.3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2">D108/B108</f>
        <v>49.666666666666664</v>
      </c>
      <c r="D108" s="51">
        <f t="shared" ref="D108" si="13">SUM(I108:T108)</f>
        <v>596</v>
      </c>
      <c r="E108" s="49">
        <v>1087.27</v>
      </c>
      <c r="F108" s="49">
        <f t="shared" ref="F108" si="14">E108/C108</f>
        <v>21.891342281879194</v>
      </c>
      <c r="G108" s="52">
        <f t="shared" ref="G108" si="15">C108/E108</f>
        <v>4.5680159175427136E-2</v>
      </c>
      <c r="I108" s="54">
        <v>0</v>
      </c>
      <c r="J108" s="54">
        <v>97.7</v>
      </c>
      <c r="K108" s="54">
        <v>217.6</v>
      </c>
      <c r="L108" s="54">
        <v>0</v>
      </c>
      <c r="M108" s="54">
        <v>46.8</v>
      </c>
      <c r="N108" s="54">
        <v>0</v>
      </c>
      <c r="O108" s="54">
        <v>233.9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16">D109/B109</f>
        <v>29.083333333333332</v>
      </c>
      <c r="D109" s="51">
        <f t="shared" ref="D109" si="17">SUM(I109:T109)</f>
        <v>349</v>
      </c>
      <c r="E109" s="49">
        <v>1087.27</v>
      </c>
      <c r="F109" s="49">
        <f t="shared" ref="F109" si="18">E109/C109</f>
        <v>37.384641833810889</v>
      </c>
      <c r="G109" s="52">
        <f t="shared" ref="G109" si="19">C109/E109</f>
        <v>2.6748952268832334E-2</v>
      </c>
      <c r="I109" s="54">
        <v>0</v>
      </c>
      <c r="J109" s="54">
        <v>0</v>
      </c>
      <c r="K109" s="54">
        <v>0</v>
      </c>
      <c r="L109" s="54">
        <v>223.2</v>
      </c>
      <c r="M109" s="54">
        <v>125.8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0">D110/B110</f>
        <v>36.825000000000003</v>
      </c>
      <c r="D110" s="51">
        <f t="shared" ref="D110" si="21">SUM(I110:T110)</f>
        <v>441.90000000000003</v>
      </c>
      <c r="E110" s="49">
        <v>1087.27</v>
      </c>
      <c r="F110" s="49">
        <f t="shared" ref="F110" si="22">E110/C110</f>
        <v>29.525322471147316</v>
      </c>
      <c r="G110" s="52">
        <f t="shared" ref="G110" si="23">C110/E110</f>
        <v>3.3869232113458485E-2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43.6</v>
      </c>
      <c r="P110" s="54">
        <v>350</v>
      </c>
      <c r="Q110" s="54">
        <v>48.3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4">D111/B111</f>
        <v>32.738172043010756</v>
      </c>
      <c r="D111" s="51">
        <f t="shared" ref="D111" si="25">SUM(I111:T111)</f>
        <v>392.85806451612905</v>
      </c>
      <c r="E111" s="49">
        <v>1087.27</v>
      </c>
      <c r="F111" s="49">
        <f t="shared" ref="F111" si="26">E111/C111</f>
        <v>33.211078449082812</v>
      </c>
      <c r="G111" s="52">
        <f t="shared" ref="G111" si="27">C111/E111</f>
        <v>3.0110434430280202E-2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17">
        <v>156.83870967741936</v>
      </c>
      <c r="S111" s="17">
        <v>230.6</v>
      </c>
      <c r="T111" s="17">
        <v>5.419354838709677</v>
      </c>
    </row>
    <row r="112" spans="1:20" ht="15.75" customHeight="1" x14ac:dyDescent="0.25">
      <c r="A112" s="16">
        <v>2025</v>
      </c>
      <c r="B112" s="9">
        <v>12</v>
      </c>
      <c r="C112" s="51">
        <f t="shared" ref="C112" si="28">D112/B112</f>
        <v>0</v>
      </c>
      <c r="D112" s="51">
        <f t="shared" ref="D112" si="29">SUM(I112:T112)</f>
        <v>0</v>
      </c>
      <c r="E112" s="49">
        <v>1087.27</v>
      </c>
      <c r="F112" s="49" t="e">
        <f t="shared" ref="F112" si="30">E112/C112</f>
        <v>#DIV/0!</v>
      </c>
      <c r="G112" s="52">
        <f t="shared" ref="G112" si="31">C112/E112</f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V120"/>
  <sheetViews>
    <sheetView zoomScale="80" zoomScaleNormal="80" workbookViewId="0">
      <pane xSplit="1" ySplit="1" topLeftCell="U74" activePane="bottomRight" state="frozen"/>
      <selection pane="topRight" activeCell="B1" sqref="B1"/>
      <selection pane="bottomLeft" activeCell="A2" sqref="A2"/>
      <selection pane="bottomRight" activeCell="AS121" sqref="AS121"/>
    </sheetView>
  </sheetViews>
  <sheetFormatPr defaultColWidth="9.109375" defaultRowHeight="14.4" x14ac:dyDescent="0.3"/>
  <cols>
    <col min="1" max="1" width="9.109375" style="1"/>
    <col min="2" max="7" width="9.109375" style="2" customWidth="1"/>
    <col min="8" max="8" width="9.44140625" style="2" customWidth="1"/>
    <col min="9" max="12" width="11.109375" style="2" bestFit="1" customWidth="1"/>
    <col min="13" max="13" width="10.88671875" style="2" bestFit="1" customWidth="1"/>
    <col min="14" max="14" width="11.33203125" style="2" bestFit="1" customWidth="1"/>
    <col min="15" max="16" width="11.109375" style="2" bestFit="1" customWidth="1"/>
    <col min="17" max="30" width="9.109375" style="2" customWidth="1"/>
    <col min="31" max="44" width="9.109375" style="2"/>
    <col min="45" max="45" width="9.109375" style="1"/>
    <col min="46" max="46" width="10.109375" style="2" bestFit="1" customWidth="1"/>
    <col min="47" max="47" width="11.109375" style="2" bestFit="1" customWidth="1"/>
    <col min="48" max="48" width="13.33203125" style="2" bestFit="1" customWidth="1"/>
    <col min="49" max="16384" width="9.109375" style="2"/>
  </cols>
  <sheetData>
    <row r="1" spans="1:48" s="1" customFormat="1" x14ac:dyDescent="0.3">
      <c r="A1" s="100" t="s">
        <v>0</v>
      </c>
      <c r="B1" s="100">
        <v>1</v>
      </c>
      <c r="C1" s="100">
        <v>2</v>
      </c>
      <c r="D1" s="100" t="s">
        <v>1</v>
      </c>
      <c r="E1" s="100" t="s">
        <v>2</v>
      </c>
      <c r="F1" s="100">
        <v>21</v>
      </c>
      <c r="G1" s="100">
        <v>22</v>
      </c>
      <c r="H1" s="100" t="s">
        <v>44</v>
      </c>
      <c r="I1" s="100" t="s">
        <v>45</v>
      </c>
      <c r="J1" s="100" t="s">
        <v>46</v>
      </c>
      <c r="K1" s="100" t="s">
        <v>47</v>
      </c>
      <c r="L1" s="100" t="s">
        <v>48</v>
      </c>
      <c r="M1" s="100" t="s">
        <v>49</v>
      </c>
      <c r="N1" s="100" t="s">
        <v>102</v>
      </c>
      <c r="O1" s="100" t="s">
        <v>50</v>
      </c>
      <c r="P1" s="100" t="s">
        <v>51</v>
      </c>
      <c r="Q1" s="100">
        <v>3</v>
      </c>
      <c r="R1" s="100">
        <v>4</v>
      </c>
      <c r="S1" s="100">
        <v>5</v>
      </c>
      <c r="T1" s="100" t="s">
        <v>3</v>
      </c>
      <c r="U1" s="100" t="s">
        <v>4</v>
      </c>
      <c r="V1" s="113" t="s">
        <v>5</v>
      </c>
      <c r="W1" s="100">
        <v>6</v>
      </c>
      <c r="X1" s="100" t="s">
        <v>6</v>
      </c>
      <c r="Y1" s="100" t="s">
        <v>7</v>
      </c>
      <c r="Z1" s="100" t="s">
        <v>8</v>
      </c>
      <c r="AA1" s="100" t="s">
        <v>9</v>
      </c>
      <c r="AB1" s="100" t="s">
        <v>10</v>
      </c>
      <c r="AC1" s="114">
        <v>8</v>
      </c>
      <c r="AD1" s="114">
        <v>9</v>
      </c>
      <c r="AE1" s="114">
        <v>10</v>
      </c>
      <c r="AF1" s="114">
        <v>11</v>
      </c>
      <c r="AG1" s="114" t="s">
        <v>58</v>
      </c>
      <c r="AH1" s="114" t="s">
        <v>59</v>
      </c>
      <c r="AI1" s="114" t="s">
        <v>60</v>
      </c>
      <c r="AJ1" s="100">
        <v>12</v>
      </c>
      <c r="AK1" s="100" t="s">
        <v>11</v>
      </c>
      <c r="AL1" s="100" t="s">
        <v>12</v>
      </c>
      <c r="AM1" s="100" t="s">
        <v>13</v>
      </c>
      <c r="AN1" s="100" t="s">
        <v>61</v>
      </c>
      <c r="AO1" s="100" t="s">
        <v>99</v>
      </c>
      <c r="AP1" s="100">
        <v>15</v>
      </c>
      <c r="AQ1" s="100">
        <v>140</v>
      </c>
      <c r="AR1" s="115"/>
      <c r="AS1" s="100" t="s">
        <v>0</v>
      </c>
      <c r="AT1" s="100" t="s">
        <v>42</v>
      </c>
      <c r="AU1" s="100" t="s">
        <v>43</v>
      </c>
      <c r="AV1" s="100" t="s">
        <v>91</v>
      </c>
    </row>
    <row r="2" spans="1:48" x14ac:dyDescent="0.3">
      <c r="A2" s="105">
        <v>1908</v>
      </c>
      <c r="B2" s="106">
        <f>'Pasture 1'!E3</f>
        <v>316.62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S2" s="105">
        <v>1908</v>
      </c>
      <c r="AT2" s="111">
        <f>SUM(B2:AQ2)</f>
        <v>316.62</v>
      </c>
      <c r="AU2" s="111">
        <v>16824.400000000001</v>
      </c>
      <c r="AV2" s="111">
        <f>(AT2/AU2)*100</f>
        <v>1.881909607474858</v>
      </c>
    </row>
    <row r="3" spans="1:48" x14ac:dyDescent="0.3">
      <c r="A3" s="105">
        <v>1909</v>
      </c>
      <c r="B3" s="106">
        <f>'Pasture 1'!E4</f>
        <v>316.62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>
        <f>'Pasture 9'!E3</f>
        <v>361.6</v>
      </c>
      <c r="AE3" s="106">
        <f>'Pasture 10'!E3</f>
        <v>240.42</v>
      </c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S3" s="105">
        <v>1909</v>
      </c>
      <c r="AT3" s="111">
        <f t="shared" ref="AT3:AT66" si="0">SUM(B3:AQ3)</f>
        <v>918.64</v>
      </c>
      <c r="AU3" s="111">
        <v>16824.400000000001</v>
      </c>
      <c r="AV3" s="111">
        <f t="shared" ref="AV3:AV66" si="1">(AT3/AU3)*100</f>
        <v>5.4601649984546254</v>
      </c>
    </row>
    <row r="4" spans="1:48" x14ac:dyDescent="0.3">
      <c r="A4" s="105">
        <v>1910</v>
      </c>
      <c r="B4" s="106">
        <f>'Pasture 1'!E5</f>
        <v>316.62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>
        <f>'Pasture 9'!E4</f>
        <v>361.6</v>
      </c>
      <c r="AE4" s="106">
        <f>'Pasture 10'!E4</f>
        <v>240.42</v>
      </c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S4" s="105">
        <v>1910</v>
      </c>
      <c r="AT4" s="111">
        <f t="shared" si="0"/>
        <v>918.64</v>
      </c>
      <c r="AU4" s="111">
        <v>16824.400000000001</v>
      </c>
      <c r="AV4" s="111">
        <f t="shared" si="1"/>
        <v>5.4601649984546254</v>
      </c>
    </row>
    <row r="5" spans="1:48" x14ac:dyDescent="0.3">
      <c r="A5" s="105">
        <v>1911</v>
      </c>
      <c r="B5" s="106">
        <f>'Pasture 1'!E6</f>
        <v>316.62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>
        <f>'Pasture 9'!E5</f>
        <v>361.6</v>
      </c>
      <c r="AE5" s="106">
        <f>'Pasture 10'!E5</f>
        <v>240.42</v>
      </c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S5" s="105">
        <v>1911</v>
      </c>
      <c r="AT5" s="111">
        <f t="shared" si="0"/>
        <v>918.64</v>
      </c>
      <c r="AU5" s="111">
        <v>16824.400000000001</v>
      </c>
      <c r="AV5" s="111">
        <f t="shared" si="1"/>
        <v>5.4601649984546254</v>
      </c>
    </row>
    <row r="6" spans="1:48" x14ac:dyDescent="0.3">
      <c r="A6" s="105">
        <v>1912</v>
      </c>
      <c r="B6" s="106">
        <f>'Pasture 1'!E7</f>
        <v>316.62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'Pasture 9'!E6</f>
        <v>361.6</v>
      </c>
      <c r="AE6" s="106">
        <f>'Pasture 10'!E6</f>
        <v>240.42</v>
      </c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S6" s="105">
        <v>1912</v>
      </c>
      <c r="AT6" s="111">
        <f t="shared" si="0"/>
        <v>918.64</v>
      </c>
      <c r="AU6" s="111">
        <v>16824.400000000001</v>
      </c>
      <c r="AV6" s="111">
        <f t="shared" si="1"/>
        <v>5.4601649984546254</v>
      </c>
    </row>
    <row r="7" spans="1:48" x14ac:dyDescent="0.3">
      <c r="A7" s="105">
        <v>1913</v>
      </c>
      <c r="B7" s="106">
        <f>'Pasture 1'!E8</f>
        <v>316.62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>
        <f>'Pasture 9'!E7</f>
        <v>361.6</v>
      </c>
      <c r="AE7" s="106">
        <f>'Pasture 10'!E7</f>
        <v>240.42</v>
      </c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S7" s="105">
        <v>1913</v>
      </c>
      <c r="AT7" s="111">
        <f t="shared" si="0"/>
        <v>918.64</v>
      </c>
      <c r="AU7" s="111">
        <v>16824.400000000001</v>
      </c>
      <c r="AV7" s="111">
        <f t="shared" si="1"/>
        <v>5.4601649984546254</v>
      </c>
    </row>
    <row r="8" spans="1:48" x14ac:dyDescent="0.3">
      <c r="A8" s="105">
        <v>1914</v>
      </c>
      <c r="B8" s="106">
        <f>'Pasture 1'!E9</f>
        <v>316.62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>
        <f>'Pasture 9'!E8</f>
        <v>361.6</v>
      </c>
      <c r="AE8" s="106">
        <f>'Pasture 10'!E8</f>
        <v>240.42</v>
      </c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S8" s="105">
        <v>1914</v>
      </c>
      <c r="AT8" s="111">
        <f t="shared" si="0"/>
        <v>918.64</v>
      </c>
      <c r="AU8" s="111">
        <v>16824.400000000001</v>
      </c>
      <c r="AV8" s="111">
        <f t="shared" si="1"/>
        <v>5.4601649984546254</v>
      </c>
    </row>
    <row r="9" spans="1:48" x14ac:dyDescent="0.3">
      <c r="A9" s="105">
        <v>1915</v>
      </c>
      <c r="B9" s="106">
        <f>'Pasture 1'!E10</f>
        <v>316.62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>
        <f>'Pasture 8'!E3</f>
        <v>329.97</v>
      </c>
      <c r="AD9" s="106">
        <f>'Pasture 9'!E9</f>
        <v>361.6</v>
      </c>
      <c r="AE9" s="106">
        <f>'Pasture 10'!E9</f>
        <v>240.42</v>
      </c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S9" s="105">
        <v>1915</v>
      </c>
      <c r="AT9" s="111">
        <f t="shared" si="0"/>
        <v>1248.6100000000001</v>
      </c>
      <c r="AU9" s="111">
        <v>16824.400000000001</v>
      </c>
      <c r="AV9" s="111">
        <f t="shared" si="1"/>
        <v>7.4214236466084982</v>
      </c>
    </row>
    <row r="10" spans="1:48" x14ac:dyDescent="0.3">
      <c r="A10" s="105">
        <v>1916</v>
      </c>
      <c r="B10" s="106">
        <f>'Pasture 1'!E11</f>
        <v>316.62</v>
      </c>
      <c r="C10" s="106">
        <f>'Pasture 2N'!E3</f>
        <v>3827.51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>
        <f>'Pasture 4'!E3</f>
        <v>269.97000000000003</v>
      </c>
      <c r="S10" s="106"/>
      <c r="T10" s="106"/>
      <c r="U10" s="106"/>
      <c r="V10" s="106"/>
      <c r="W10" s="106">
        <f>'Pasture 6A'!E3</f>
        <v>3108.65</v>
      </c>
      <c r="X10" s="106"/>
      <c r="Y10" s="106"/>
      <c r="Z10" s="106"/>
      <c r="AA10" s="106"/>
      <c r="AB10" s="106"/>
      <c r="AC10" s="106">
        <f>'Pasture 8'!E4</f>
        <v>329.97</v>
      </c>
      <c r="AD10" s="106">
        <f>'Pasture 9'!E10</f>
        <v>361.6</v>
      </c>
      <c r="AE10" s="106">
        <f>'Pasture 10'!E10</f>
        <v>240.42</v>
      </c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S10" s="105">
        <v>1916</v>
      </c>
      <c r="AT10" s="111">
        <f t="shared" si="0"/>
        <v>8454.74</v>
      </c>
      <c r="AU10" s="111">
        <v>16824.400000000001</v>
      </c>
      <c r="AV10" s="111">
        <f t="shared" si="1"/>
        <v>50.252847055467051</v>
      </c>
    </row>
    <row r="11" spans="1:48" x14ac:dyDescent="0.3">
      <c r="A11" s="105">
        <v>1917</v>
      </c>
      <c r="B11" s="106">
        <f>'Pasture 1'!E12</f>
        <v>316.62</v>
      </c>
      <c r="C11" s="106">
        <f>'Pasture 2N'!E4</f>
        <v>3827.51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>
        <f>'Pasture 4'!E4</f>
        <v>269.97000000000003</v>
      </c>
      <c r="S11" s="106"/>
      <c r="T11" s="106"/>
      <c r="U11" s="106"/>
      <c r="V11" s="106"/>
      <c r="W11" s="106">
        <f>'Pasture 6A'!E4</f>
        <v>3108.65</v>
      </c>
      <c r="X11" s="106"/>
      <c r="Y11" s="106"/>
      <c r="Z11" s="106"/>
      <c r="AA11" s="106"/>
      <c r="AB11" s="106"/>
      <c r="AC11" s="106">
        <f>'Pasture 8'!E5</f>
        <v>329.97</v>
      </c>
      <c r="AD11" s="106">
        <f>'Pasture 9'!E11</f>
        <v>361.6</v>
      </c>
      <c r="AE11" s="106">
        <f>'Pasture 10'!E11</f>
        <v>240.42</v>
      </c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S11" s="105">
        <v>1917</v>
      </c>
      <c r="AT11" s="111">
        <f t="shared" si="0"/>
        <v>8454.74</v>
      </c>
      <c r="AU11" s="111">
        <v>16824.400000000001</v>
      </c>
      <c r="AV11" s="111">
        <f t="shared" si="1"/>
        <v>50.252847055467051</v>
      </c>
    </row>
    <row r="12" spans="1:48" x14ac:dyDescent="0.3">
      <c r="A12" s="105">
        <v>1918</v>
      </c>
      <c r="B12" s="106">
        <f>'Pasture 1'!E13</f>
        <v>316.62</v>
      </c>
      <c r="C12" s="106">
        <f>'Pasture 2N'!E5</f>
        <v>3827.51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>
        <f>'Pasture 4'!E5</f>
        <v>269.97000000000003</v>
      </c>
      <c r="S12" s="106"/>
      <c r="T12" s="106"/>
      <c r="U12" s="106"/>
      <c r="V12" s="106"/>
      <c r="W12" s="106">
        <f>'Pasture 6A'!E5</f>
        <v>3108.65</v>
      </c>
      <c r="X12" s="106"/>
      <c r="Y12" s="106"/>
      <c r="Z12" s="106"/>
      <c r="AA12" s="106"/>
      <c r="AB12" s="106"/>
      <c r="AC12" s="106">
        <f>'Pasture 8'!E6</f>
        <v>329.97</v>
      </c>
      <c r="AD12" s="106">
        <f>'Pasture 9'!E12</f>
        <v>361.6</v>
      </c>
      <c r="AE12" s="106">
        <f>'Pasture 10'!E12</f>
        <v>240.42</v>
      </c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S12" s="105">
        <v>1918</v>
      </c>
      <c r="AT12" s="111">
        <f t="shared" si="0"/>
        <v>8454.74</v>
      </c>
      <c r="AU12" s="111">
        <v>16824.400000000001</v>
      </c>
      <c r="AV12" s="111">
        <f t="shared" si="1"/>
        <v>50.252847055467051</v>
      </c>
    </row>
    <row r="13" spans="1:48" x14ac:dyDescent="0.3">
      <c r="A13" s="105">
        <v>1919</v>
      </c>
      <c r="B13" s="106">
        <f>'Pasture 1'!E14</f>
        <v>316.62</v>
      </c>
      <c r="C13" s="106">
        <f>'Pasture 2N'!E6</f>
        <v>3827.51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>
        <f>'Pasture 4'!E6</f>
        <v>269.97000000000003</v>
      </c>
      <c r="S13" s="106">
        <f>'Pasture 5N'!E3</f>
        <v>4118.6000000000004</v>
      </c>
      <c r="T13" s="106"/>
      <c r="U13" s="106"/>
      <c r="V13" s="106"/>
      <c r="W13" s="106">
        <f>'Pasture 6A'!E6</f>
        <v>3108.65</v>
      </c>
      <c r="X13" s="106"/>
      <c r="Y13" s="106"/>
      <c r="Z13" s="106"/>
      <c r="AA13" s="106"/>
      <c r="AB13" s="106"/>
      <c r="AC13" s="106">
        <f>'Pasture 8'!E7</f>
        <v>329.97</v>
      </c>
      <c r="AD13" s="106">
        <f>'Pasture 9'!E13</f>
        <v>361.6</v>
      </c>
      <c r="AE13" s="106">
        <f>'Pasture 10'!E13</f>
        <v>240.42</v>
      </c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S13" s="105">
        <v>1919</v>
      </c>
      <c r="AT13" s="111">
        <f t="shared" si="0"/>
        <v>12573.34</v>
      </c>
      <c r="AU13" s="111">
        <v>16824.400000000001</v>
      </c>
      <c r="AV13" s="111">
        <f t="shared" si="1"/>
        <v>74.732769073488498</v>
      </c>
    </row>
    <row r="14" spans="1:48" x14ac:dyDescent="0.3">
      <c r="A14" s="105">
        <v>1920</v>
      </c>
      <c r="B14" s="106">
        <f>'Pasture 1'!E15</f>
        <v>316.62</v>
      </c>
      <c r="C14" s="106">
        <f>'Pasture 2N'!E7</f>
        <v>3827.51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>
        <f>'Pasture 4'!E7</f>
        <v>269.97000000000003</v>
      </c>
      <c r="S14" s="106">
        <f>'Pasture 5N'!E4</f>
        <v>4118.6000000000004</v>
      </c>
      <c r="T14" s="106"/>
      <c r="U14" s="106"/>
      <c r="V14" s="106"/>
      <c r="W14" s="106">
        <f>'Pasture 6A'!E7</f>
        <v>3108.65</v>
      </c>
      <c r="X14" s="106"/>
      <c r="Y14" s="106"/>
      <c r="Z14" s="106"/>
      <c r="AA14" s="106"/>
      <c r="AB14" s="106"/>
      <c r="AC14" s="106">
        <f>'Pasture 8'!E8</f>
        <v>329.97</v>
      </c>
      <c r="AD14" s="106">
        <f>'Pasture 9'!E14</f>
        <v>361.6</v>
      </c>
      <c r="AE14" s="106">
        <f>'Pasture 10'!E14</f>
        <v>240.42</v>
      </c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S14" s="105">
        <v>1920</v>
      </c>
      <c r="AT14" s="111">
        <f t="shared" si="0"/>
        <v>12573.34</v>
      </c>
      <c r="AU14" s="111">
        <v>16824.400000000001</v>
      </c>
      <c r="AV14" s="111">
        <f t="shared" si="1"/>
        <v>74.732769073488498</v>
      </c>
    </row>
    <row r="15" spans="1:48" x14ac:dyDescent="0.3">
      <c r="A15" s="105">
        <v>1921</v>
      </c>
      <c r="B15" s="106">
        <f>'Pasture 1'!E16</f>
        <v>316.62</v>
      </c>
      <c r="C15" s="106">
        <f>'Pasture 2N'!E8</f>
        <v>3827.51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>
        <f>'Pasture 4'!E8</f>
        <v>269.97000000000003</v>
      </c>
      <c r="S15" s="106">
        <f>'Pasture 5N'!E5</f>
        <v>4118.6000000000004</v>
      </c>
      <c r="T15" s="106"/>
      <c r="U15" s="106"/>
      <c r="V15" s="106"/>
      <c r="W15" s="106">
        <f>'Pasture 6A'!E8</f>
        <v>3108.65</v>
      </c>
      <c r="X15" s="106"/>
      <c r="Y15" s="106"/>
      <c r="Z15" s="106"/>
      <c r="AA15" s="106"/>
      <c r="AB15" s="106"/>
      <c r="AC15" s="106">
        <f>'Pasture 8'!E9</f>
        <v>329.97</v>
      </c>
      <c r="AD15" s="106">
        <f>'Pasture 9'!E15</f>
        <v>361.6</v>
      </c>
      <c r="AE15" s="106">
        <f>'Pasture 10'!E15</f>
        <v>240.42</v>
      </c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S15" s="105">
        <v>1921</v>
      </c>
      <c r="AT15" s="111">
        <f t="shared" si="0"/>
        <v>12573.34</v>
      </c>
      <c r="AU15" s="111">
        <v>16824.400000000001</v>
      </c>
      <c r="AV15" s="111">
        <f t="shared" si="1"/>
        <v>74.732769073488498</v>
      </c>
    </row>
    <row r="16" spans="1:48" x14ac:dyDescent="0.3">
      <c r="A16" s="105">
        <v>1922</v>
      </c>
      <c r="B16" s="106">
        <f>'Pasture 1'!E17</f>
        <v>316.62</v>
      </c>
      <c r="C16" s="106">
        <f>'Pasture 2N'!E9</f>
        <v>3827.51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>
        <f>'Pasture 3'!E3</f>
        <v>1661.6</v>
      </c>
      <c r="R16" s="106">
        <f>'Pasture 4'!E9</f>
        <v>269.97000000000003</v>
      </c>
      <c r="S16" s="106">
        <f>'Pasture 5N'!E6</f>
        <v>4118.6000000000004</v>
      </c>
      <c r="T16" s="106"/>
      <c r="U16" s="106"/>
      <c r="V16" s="106"/>
      <c r="W16" s="106">
        <f>'Pasture 6A'!E9</f>
        <v>3108.65</v>
      </c>
      <c r="X16" s="106"/>
      <c r="Y16" s="106"/>
      <c r="Z16" s="106"/>
      <c r="AA16" s="106"/>
      <c r="AB16" s="106"/>
      <c r="AC16" s="106">
        <f>'Pasture 8'!E10</f>
        <v>329.97</v>
      </c>
      <c r="AD16" s="106">
        <f>'Pasture 9'!E16</f>
        <v>361.6</v>
      </c>
      <c r="AE16" s="106">
        <f>'Pasture 10'!E16</f>
        <v>240.42</v>
      </c>
      <c r="AF16" s="106">
        <f>'Pasture 11A'!E3</f>
        <v>251.59</v>
      </c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S16" s="105">
        <v>1922</v>
      </c>
      <c r="AT16" s="111">
        <f t="shared" si="0"/>
        <v>14486.529999999999</v>
      </c>
      <c r="AU16" s="111">
        <v>16824.400000000001</v>
      </c>
      <c r="AV16" s="111">
        <f t="shared" si="1"/>
        <v>86.104289008820516</v>
      </c>
    </row>
    <row r="17" spans="1:48" x14ac:dyDescent="0.3">
      <c r="A17" s="105">
        <v>1923</v>
      </c>
      <c r="B17" s="106">
        <f>'Pasture 1'!E18</f>
        <v>316.62</v>
      </c>
      <c r="C17" s="106">
        <f>'Pasture 2N'!E10</f>
        <v>3827.51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>
        <f>'Pasture 3'!E4</f>
        <v>1661.6</v>
      </c>
      <c r="R17" s="106">
        <f>'Pasture 4'!E10</f>
        <v>269.97000000000003</v>
      </c>
      <c r="S17" s="106">
        <f>'Pasture 5N'!E7</f>
        <v>4118.6000000000004</v>
      </c>
      <c r="T17" s="106"/>
      <c r="U17" s="106"/>
      <c r="V17" s="106"/>
      <c r="W17" s="106">
        <f>'Pasture 6A'!E10</f>
        <v>3108.65</v>
      </c>
      <c r="X17" s="106"/>
      <c r="Y17" s="106"/>
      <c r="Z17" s="106"/>
      <c r="AA17" s="106"/>
      <c r="AB17" s="106"/>
      <c r="AC17" s="106">
        <f>'Pasture 8'!E11</f>
        <v>329.97</v>
      </c>
      <c r="AD17" s="106">
        <f>'Pasture 9'!E17</f>
        <v>361.6</v>
      </c>
      <c r="AE17" s="106">
        <f>'Pasture 10'!E17</f>
        <v>240.42</v>
      </c>
      <c r="AF17" s="106">
        <f>'Pasture 11A'!E4</f>
        <v>251.59</v>
      </c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S17" s="105">
        <v>1923</v>
      </c>
      <c r="AT17" s="111">
        <f t="shared" si="0"/>
        <v>14486.529999999999</v>
      </c>
      <c r="AU17" s="111">
        <v>16824.400000000001</v>
      </c>
      <c r="AV17" s="111">
        <f t="shared" si="1"/>
        <v>86.104289008820516</v>
      </c>
    </row>
    <row r="18" spans="1:48" x14ac:dyDescent="0.3">
      <c r="A18" s="105">
        <v>1924</v>
      </c>
      <c r="B18" s="106">
        <f>'Pasture 1'!E19</f>
        <v>316.62</v>
      </c>
      <c r="C18" s="106">
        <f>'Pasture 2N'!E11</f>
        <v>3827.51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>
        <f>'Pasture 3'!E5</f>
        <v>1661.6</v>
      </c>
      <c r="R18" s="106">
        <f>'Pasture 4'!E11</f>
        <v>269.97000000000003</v>
      </c>
      <c r="S18" s="106">
        <f>'Pasture 5N'!E8</f>
        <v>4118.6000000000004</v>
      </c>
      <c r="T18" s="106"/>
      <c r="U18" s="106"/>
      <c r="V18" s="106"/>
      <c r="W18" s="106">
        <f>'Pasture 6A'!E11</f>
        <v>3108.65</v>
      </c>
      <c r="X18" s="106"/>
      <c r="Y18" s="106"/>
      <c r="Z18" s="106"/>
      <c r="AA18" s="106"/>
      <c r="AB18" s="106"/>
      <c r="AC18" s="106">
        <f>'Pasture 8'!E12</f>
        <v>329.97</v>
      </c>
      <c r="AD18" s="106">
        <f>'Pasture 9'!E18</f>
        <v>361.6</v>
      </c>
      <c r="AE18" s="106">
        <f>'Pasture 10'!E18</f>
        <v>240.42</v>
      </c>
      <c r="AF18" s="106">
        <f>'Pasture 11A'!E5</f>
        <v>251.59</v>
      </c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S18" s="105">
        <v>1924</v>
      </c>
      <c r="AT18" s="111">
        <f t="shared" si="0"/>
        <v>14486.529999999999</v>
      </c>
      <c r="AU18" s="111">
        <v>16824.400000000001</v>
      </c>
      <c r="AV18" s="111">
        <f t="shared" si="1"/>
        <v>86.104289008820516</v>
      </c>
    </row>
    <row r="19" spans="1:48" x14ac:dyDescent="0.3">
      <c r="A19" s="105">
        <v>1925</v>
      </c>
      <c r="B19" s="106">
        <f>'Pasture 1'!E20</f>
        <v>316.62</v>
      </c>
      <c r="C19" s="106">
        <f>'Pasture 2N'!E12</f>
        <v>3827.51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>
        <f>'Pasture 3'!E6</f>
        <v>1661.6</v>
      </c>
      <c r="R19" s="106">
        <f>'Pasture 4'!E12</f>
        <v>269.97000000000003</v>
      </c>
      <c r="S19" s="106">
        <f>'Pasture 5N'!E9</f>
        <v>4118.6000000000004</v>
      </c>
      <c r="T19" s="106"/>
      <c r="U19" s="106"/>
      <c r="V19" s="106"/>
      <c r="W19" s="106">
        <f>'Pasture 6A'!E12</f>
        <v>3108.65</v>
      </c>
      <c r="X19" s="106"/>
      <c r="Y19" s="106"/>
      <c r="Z19" s="106"/>
      <c r="AA19" s="106"/>
      <c r="AB19" s="106"/>
      <c r="AC19" s="106">
        <f>'Pasture 8'!E13</f>
        <v>329.97</v>
      </c>
      <c r="AD19" s="106">
        <f>'Pasture 9'!E19</f>
        <v>361.6</v>
      </c>
      <c r="AE19" s="106">
        <f>'Pasture 10'!E19</f>
        <v>240.42</v>
      </c>
      <c r="AF19" s="106">
        <f>'Pasture 11A'!E6</f>
        <v>251.59</v>
      </c>
      <c r="AG19" s="106"/>
      <c r="AH19" s="106"/>
      <c r="AI19" s="106"/>
      <c r="AJ19" s="106">
        <f>'Pasture 12A'!E3</f>
        <v>415</v>
      </c>
      <c r="AK19" s="106"/>
      <c r="AL19" s="106"/>
      <c r="AM19" s="106"/>
      <c r="AN19" s="106"/>
      <c r="AO19" s="106"/>
      <c r="AP19" s="106"/>
      <c r="AQ19" s="106"/>
      <c r="AS19" s="105">
        <v>1925</v>
      </c>
      <c r="AT19" s="111">
        <f t="shared" si="0"/>
        <v>14901.529999999999</v>
      </c>
      <c r="AU19" s="111">
        <v>19399.310000000001</v>
      </c>
      <c r="AV19" s="111">
        <f t="shared" si="1"/>
        <v>76.814742380012461</v>
      </c>
    </row>
    <row r="20" spans="1:48" x14ac:dyDescent="0.3">
      <c r="A20" s="105">
        <v>1926</v>
      </c>
      <c r="B20" s="106">
        <f>'Pasture 1'!E21</f>
        <v>316.62</v>
      </c>
      <c r="C20" s="106">
        <f>'Pasture 2N'!E13</f>
        <v>3827.51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>
        <f>'Pasture 3'!E7</f>
        <v>1661.6</v>
      </c>
      <c r="R20" s="106">
        <f>'Pasture 4'!E13</f>
        <v>269.97000000000003</v>
      </c>
      <c r="S20" s="106">
        <f>'Pasture 5N'!E10</f>
        <v>4118.6000000000004</v>
      </c>
      <c r="T20" s="106"/>
      <c r="U20" s="106"/>
      <c r="V20" s="106"/>
      <c r="W20" s="106">
        <f>'Pasture 6A'!E13</f>
        <v>3108.65</v>
      </c>
      <c r="X20" s="106"/>
      <c r="Y20" s="106"/>
      <c r="Z20" s="106"/>
      <c r="AA20" s="106"/>
      <c r="AB20" s="106"/>
      <c r="AC20" s="106">
        <f>'Pasture 8'!E14</f>
        <v>329.97</v>
      </c>
      <c r="AD20" s="106">
        <f>'Pasture 9'!E20</f>
        <v>361.6</v>
      </c>
      <c r="AE20" s="106">
        <f>'Pasture 10'!E20</f>
        <v>240.42</v>
      </c>
      <c r="AF20" s="106">
        <f>'Pasture 11A'!E7</f>
        <v>251.59</v>
      </c>
      <c r="AG20" s="106"/>
      <c r="AH20" s="106"/>
      <c r="AI20" s="106"/>
      <c r="AJ20" s="106">
        <f>'Pasture 12A'!E4</f>
        <v>1969.66</v>
      </c>
      <c r="AK20" s="106"/>
      <c r="AL20" s="106"/>
      <c r="AM20" s="106"/>
      <c r="AN20" s="106"/>
      <c r="AO20" s="106"/>
      <c r="AP20" s="106"/>
      <c r="AQ20" s="106"/>
      <c r="AS20" s="105">
        <v>1926</v>
      </c>
      <c r="AT20" s="111">
        <f t="shared" si="0"/>
        <v>16456.189999999999</v>
      </c>
      <c r="AU20" s="111">
        <v>19399.310000000001</v>
      </c>
      <c r="AV20" s="111">
        <f t="shared" si="1"/>
        <v>84.828738754110304</v>
      </c>
    </row>
    <row r="21" spans="1:48" x14ac:dyDescent="0.3">
      <c r="A21" s="105">
        <v>1927</v>
      </c>
      <c r="B21" s="106">
        <f>'Pasture 1'!E22</f>
        <v>316.62</v>
      </c>
      <c r="C21" s="106">
        <f>'Pasture 2N'!E14</f>
        <v>3827.51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>
        <f>'Pasture 3'!E8</f>
        <v>1661.6</v>
      </c>
      <c r="R21" s="106">
        <f>'Pasture 4'!E14</f>
        <v>269.97000000000003</v>
      </c>
      <c r="S21" s="106">
        <f>'Pasture 5N'!E11</f>
        <v>4118.6000000000004</v>
      </c>
      <c r="T21" s="106"/>
      <c r="U21" s="106"/>
      <c r="V21" s="106"/>
      <c r="W21" s="106">
        <f>'Pasture 6A'!E14</f>
        <v>3108.65</v>
      </c>
      <c r="X21" s="106"/>
      <c r="Y21" s="106"/>
      <c r="Z21" s="106"/>
      <c r="AA21" s="106"/>
      <c r="AB21" s="106"/>
      <c r="AC21" s="106">
        <f>'Pasture 8'!E15</f>
        <v>329.97</v>
      </c>
      <c r="AD21" s="106">
        <f>'Pasture 9'!E21</f>
        <v>361.6</v>
      </c>
      <c r="AE21" s="106">
        <f>'Pasture 10'!E21</f>
        <v>240.42</v>
      </c>
      <c r="AF21" s="106">
        <f>'Pasture 11A'!E8</f>
        <v>251.59</v>
      </c>
      <c r="AG21" s="106"/>
      <c r="AH21" s="106"/>
      <c r="AI21" s="106"/>
      <c r="AJ21" s="106">
        <f>'Pasture 12A'!E5</f>
        <v>3265.21</v>
      </c>
      <c r="AK21" s="106"/>
      <c r="AL21" s="106"/>
      <c r="AM21" s="106"/>
      <c r="AN21" s="106"/>
      <c r="AO21" s="106"/>
      <c r="AP21" s="106"/>
      <c r="AQ21" s="106"/>
      <c r="AS21" s="105">
        <v>1927</v>
      </c>
      <c r="AT21" s="111">
        <f t="shared" si="0"/>
        <v>17751.739999999998</v>
      </c>
      <c r="AU21" s="111">
        <v>21472.18</v>
      </c>
      <c r="AV21" s="111">
        <f t="shared" si="1"/>
        <v>82.673207843823945</v>
      </c>
    </row>
    <row r="22" spans="1:48" x14ac:dyDescent="0.3">
      <c r="A22" s="105">
        <v>1928</v>
      </c>
      <c r="B22" s="106">
        <f>'Pasture 1'!E23</f>
        <v>316.62</v>
      </c>
      <c r="C22" s="106">
        <f>'Pasture 2N'!E15</f>
        <v>3827.51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>
        <f>'Pasture 3'!E9</f>
        <v>1661.6</v>
      </c>
      <c r="R22" s="106">
        <f>'Pasture 4'!E15</f>
        <v>269.97000000000003</v>
      </c>
      <c r="S22" s="106">
        <f>'Pasture 5N'!E12</f>
        <v>4118.6000000000004</v>
      </c>
      <c r="T22" s="106"/>
      <c r="U22" s="106"/>
      <c r="V22" s="106"/>
      <c r="W22" s="106">
        <f>'Pasture 6A'!E15</f>
        <v>3108.65</v>
      </c>
      <c r="X22" s="106"/>
      <c r="Y22" s="106"/>
      <c r="Z22" s="106"/>
      <c r="AA22" s="106"/>
      <c r="AB22" s="106"/>
      <c r="AC22" s="106">
        <f>'Pasture 8'!E16</f>
        <v>329.97</v>
      </c>
      <c r="AD22" s="106">
        <f>'Pasture 9'!E22</f>
        <v>361.6</v>
      </c>
      <c r="AE22" s="106">
        <f>'Pasture 10'!E22</f>
        <v>240.42</v>
      </c>
      <c r="AF22" s="106">
        <f>'Pasture 11A'!E9</f>
        <v>251.59</v>
      </c>
      <c r="AG22" s="106"/>
      <c r="AH22" s="106"/>
      <c r="AI22" s="106"/>
      <c r="AJ22" s="106">
        <f>'Pasture 12A'!E6</f>
        <v>3265.21</v>
      </c>
      <c r="AK22" s="106"/>
      <c r="AL22" s="106"/>
      <c r="AM22" s="106"/>
      <c r="AN22" s="106"/>
      <c r="AO22" s="106"/>
      <c r="AP22" s="106"/>
      <c r="AQ22" s="106"/>
      <c r="AS22" s="105">
        <v>1928</v>
      </c>
      <c r="AT22" s="111">
        <f t="shared" si="0"/>
        <v>17751.739999999998</v>
      </c>
      <c r="AU22" s="111">
        <v>21472.18</v>
      </c>
      <c r="AV22" s="111">
        <f t="shared" si="1"/>
        <v>82.673207843823945</v>
      </c>
    </row>
    <row r="23" spans="1:48" x14ac:dyDescent="0.3">
      <c r="A23" s="105">
        <v>1929</v>
      </c>
      <c r="B23" s="106">
        <f>'Pasture 1'!E24</f>
        <v>316.62</v>
      </c>
      <c r="C23" s="106">
        <f>'Pasture 2N'!E16</f>
        <v>3827.51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>
        <f>'Pasture 3'!E10</f>
        <v>1661.6</v>
      </c>
      <c r="R23" s="106">
        <f>'Pasture 4'!E16</f>
        <v>269.97000000000003</v>
      </c>
      <c r="S23" s="106">
        <f>'Pasture 5N'!E13</f>
        <v>4118.6000000000004</v>
      </c>
      <c r="T23" s="106"/>
      <c r="U23" s="106"/>
      <c r="V23" s="106"/>
      <c r="W23" s="106">
        <f>'Pasture 6A'!E16</f>
        <v>3108.65</v>
      </c>
      <c r="X23" s="106"/>
      <c r="Y23" s="106"/>
      <c r="Z23" s="106"/>
      <c r="AA23" s="106"/>
      <c r="AB23" s="106"/>
      <c r="AC23" s="106">
        <f>'Pasture 8'!E17</f>
        <v>329.97</v>
      </c>
      <c r="AD23" s="106">
        <f>'Pasture 9'!E23</f>
        <v>361.6</v>
      </c>
      <c r="AE23" s="106">
        <f>'Pasture 10'!E23</f>
        <v>240.42</v>
      </c>
      <c r="AF23" s="106">
        <f>'Pasture 11A'!E10</f>
        <v>251.59</v>
      </c>
      <c r="AG23" s="106"/>
      <c r="AH23" s="106"/>
      <c r="AI23" s="106"/>
      <c r="AJ23" s="106">
        <f>'Pasture 12A'!E7</f>
        <v>3265.21</v>
      </c>
      <c r="AK23" s="106"/>
      <c r="AL23" s="106"/>
      <c r="AM23" s="106"/>
      <c r="AN23" s="106"/>
      <c r="AO23" s="106"/>
      <c r="AP23" s="106">
        <f>'Pasture 15'!E3</f>
        <v>1707.4</v>
      </c>
      <c r="AQ23" s="106"/>
      <c r="AS23" s="105">
        <v>1929</v>
      </c>
      <c r="AT23" s="111">
        <f t="shared" si="0"/>
        <v>19459.14</v>
      </c>
      <c r="AU23" s="111">
        <v>21472.18</v>
      </c>
      <c r="AV23" s="111">
        <f t="shared" si="1"/>
        <v>90.624892302504918</v>
      </c>
    </row>
    <row r="24" spans="1:48" x14ac:dyDescent="0.3">
      <c r="A24" s="105">
        <v>1930</v>
      </c>
      <c r="B24" s="106">
        <f>'Pasture 1'!E25</f>
        <v>316.62</v>
      </c>
      <c r="C24" s="106">
        <f>'Pasture 2N'!E17</f>
        <v>3827.51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 t="s">
        <v>101</v>
      </c>
      <c r="Q24" s="106">
        <f>'Pasture 3'!E11</f>
        <v>1661.6</v>
      </c>
      <c r="R24" s="106">
        <f>'Pasture 4'!E17</f>
        <v>269.97000000000003</v>
      </c>
      <c r="S24" s="106">
        <f>'Pasture 5N'!E14</f>
        <v>4118.6000000000004</v>
      </c>
      <c r="T24" s="106"/>
      <c r="U24" s="106"/>
      <c r="V24" s="106"/>
      <c r="W24" s="106">
        <f>'Pasture 6A'!E17</f>
        <v>3108.65</v>
      </c>
      <c r="X24" s="106"/>
      <c r="Y24" s="106"/>
      <c r="Z24" s="106"/>
      <c r="AA24" s="106"/>
      <c r="AB24" s="106"/>
      <c r="AC24" s="106">
        <f>'Pasture 8'!E18</f>
        <v>329.97</v>
      </c>
      <c r="AD24" s="106">
        <f>'Pasture 9'!E24</f>
        <v>361.6</v>
      </c>
      <c r="AE24" s="106">
        <f>'Pasture 10'!E24</f>
        <v>240.42</v>
      </c>
      <c r="AF24" s="106">
        <f>'Pasture 11A'!E11</f>
        <v>251.59</v>
      </c>
      <c r="AG24" s="106"/>
      <c r="AH24" s="106"/>
      <c r="AI24" s="106"/>
      <c r="AJ24" s="106">
        <f>'Pasture 12A'!E8</f>
        <v>3265.21</v>
      </c>
      <c r="AK24" s="106"/>
      <c r="AL24" s="106"/>
      <c r="AM24" s="106"/>
      <c r="AN24" s="106"/>
      <c r="AO24" s="106"/>
      <c r="AP24" s="106">
        <f>'Pasture 15'!E4</f>
        <v>1707.4</v>
      </c>
      <c r="AQ24" s="106"/>
      <c r="AS24" s="105">
        <v>1930</v>
      </c>
      <c r="AT24" s="111">
        <f t="shared" si="0"/>
        <v>19459.14</v>
      </c>
      <c r="AU24" s="111">
        <v>21472.18</v>
      </c>
      <c r="AV24" s="111">
        <f t="shared" si="1"/>
        <v>90.624892302504918</v>
      </c>
    </row>
    <row r="25" spans="1:48" x14ac:dyDescent="0.3">
      <c r="A25" s="105">
        <v>1931</v>
      </c>
      <c r="B25" s="106">
        <f>'Pasture 1'!E26</f>
        <v>316.62</v>
      </c>
      <c r="C25" s="106">
        <f>'Pasture 2N'!E18</f>
        <v>3827.51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>
        <f>'Pasture 3'!E12</f>
        <v>1661.6</v>
      </c>
      <c r="R25" s="106">
        <f>'Pasture 4'!E18</f>
        <v>269.97000000000003</v>
      </c>
      <c r="S25" s="106">
        <f>'Pasture 5N'!E15</f>
        <v>4118.6000000000004</v>
      </c>
      <c r="T25" s="106"/>
      <c r="U25" s="106"/>
      <c r="V25" s="106"/>
      <c r="W25" s="106">
        <f>'Pasture 6A'!E18</f>
        <v>3108.65</v>
      </c>
      <c r="X25" s="106"/>
      <c r="Y25" s="106"/>
      <c r="Z25" s="106"/>
      <c r="AA25" s="106"/>
      <c r="AB25" s="106"/>
      <c r="AC25" s="106">
        <f>'Pasture 8'!E19</f>
        <v>329.97</v>
      </c>
      <c r="AD25" s="106">
        <f>'Pasture 9'!E25</f>
        <v>361.6</v>
      </c>
      <c r="AE25" s="106">
        <f>'Pasture 10'!E25</f>
        <v>240.42</v>
      </c>
      <c r="AF25" s="106">
        <f>'Pasture 11A'!E12</f>
        <v>251.59</v>
      </c>
      <c r="AG25" s="106"/>
      <c r="AH25" s="106"/>
      <c r="AI25" s="106"/>
      <c r="AJ25" s="106">
        <f>'Pasture 12A'!E9</f>
        <v>3265.21</v>
      </c>
      <c r="AK25" s="106"/>
      <c r="AL25" s="106"/>
      <c r="AM25" s="106"/>
      <c r="AN25" s="106"/>
      <c r="AO25" s="106"/>
      <c r="AP25" s="106">
        <f>'Pasture 15'!E5</f>
        <v>1707.4</v>
      </c>
      <c r="AQ25" s="106"/>
      <c r="AS25" s="105">
        <v>1931</v>
      </c>
      <c r="AT25" s="111">
        <f t="shared" si="0"/>
        <v>19459.14</v>
      </c>
      <c r="AU25" s="111">
        <v>21472.18</v>
      </c>
      <c r="AV25" s="111">
        <f t="shared" si="1"/>
        <v>90.624892302504918</v>
      </c>
    </row>
    <row r="26" spans="1:48" x14ac:dyDescent="0.3">
      <c r="A26" s="105">
        <v>1932</v>
      </c>
      <c r="B26" s="106">
        <f>'Pasture 1'!E27</f>
        <v>316.62</v>
      </c>
      <c r="C26" s="106">
        <f>'Pasture 2N'!E19</f>
        <v>3827.51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>
        <f>'Pasture 3'!E13</f>
        <v>1661.6</v>
      </c>
      <c r="R26" s="106">
        <f>'Pasture 4'!E19</f>
        <v>269.97000000000003</v>
      </c>
      <c r="S26" s="106">
        <f>'Pasture 5N'!E16</f>
        <v>4118.6000000000004</v>
      </c>
      <c r="T26" s="106"/>
      <c r="U26" s="106"/>
      <c r="V26" s="106"/>
      <c r="W26" s="106">
        <f>'Pasture 6A'!E19</f>
        <v>3108.65</v>
      </c>
      <c r="X26" s="106"/>
      <c r="Y26" s="106"/>
      <c r="Z26" s="106"/>
      <c r="AA26" s="106"/>
      <c r="AB26" s="106"/>
      <c r="AC26" s="106">
        <f>'Pasture 8'!E20</f>
        <v>329.97</v>
      </c>
      <c r="AD26" s="106">
        <f>'Pasture 9'!E26</f>
        <v>361.6</v>
      </c>
      <c r="AE26" s="106">
        <f>'Pasture 10'!E26</f>
        <v>240.42</v>
      </c>
      <c r="AF26" s="106">
        <f>'Pasture 11A'!E13</f>
        <v>251.59</v>
      </c>
      <c r="AG26" s="106"/>
      <c r="AH26" s="106"/>
      <c r="AI26" s="106"/>
      <c r="AJ26" s="106">
        <f>'Pasture 12A'!E10</f>
        <v>3265.21</v>
      </c>
      <c r="AK26" s="106"/>
      <c r="AL26" s="106"/>
      <c r="AM26" s="106"/>
      <c r="AN26" s="106"/>
      <c r="AO26" s="106"/>
      <c r="AP26" s="106">
        <f>'Pasture 15'!E6</f>
        <v>1707.4</v>
      </c>
      <c r="AQ26" s="106"/>
      <c r="AS26" s="105">
        <v>1932</v>
      </c>
      <c r="AT26" s="111">
        <f t="shared" si="0"/>
        <v>19459.14</v>
      </c>
      <c r="AU26" s="111">
        <v>21472.18</v>
      </c>
      <c r="AV26" s="111">
        <f t="shared" si="1"/>
        <v>90.624892302504918</v>
      </c>
    </row>
    <row r="27" spans="1:48" x14ac:dyDescent="0.3">
      <c r="A27" s="105">
        <v>1933</v>
      </c>
      <c r="B27" s="106">
        <f>'Pasture 1'!E28</f>
        <v>316.62</v>
      </c>
      <c r="C27" s="106">
        <f>'Pasture 2N'!E20</f>
        <v>3827.51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>
        <f>'Pasture 3'!E14</f>
        <v>1661.6</v>
      </c>
      <c r="R27" s="106">
        <f>'Pasture 4'!E20</f>
        <v>269.97000000000003</v>
      </c>
      <c r="S27" s="106">
        <f>'Pasture 5N'!E17</f>
        <v>4118.6000000000004</v>
      </c>
      <c r="T27" s="106"/>
      <c r="U27" s="106"/>
      <c r="V27" s="106"/>
      <c r="W27" s="106">
        <f>'Pasture 6A'!E20</f>
        <v>3108.65</v>
      </c>
      <c r="X27" s="106"/>
      <c r="Y27" s="106"/>
      <c r="Z27" s="106"/>
      <c r="AA27" s="106"/>
      <c r="AB27" s="106"/>
      <c r="AC27" s="106">
        <f>'Pasture 8'!E21</f>
        <v>329.97</v>
      </c>
      <c r="AD27" s="106">
        <f>'Pasture 9'!E27</f>
        <v>361.6</v>
      </c>
      <c r="AE27" s="106">
        <f>'Pasture 10'!E27</f>
        <v>240.42</v>
      </c>
      <c r="AF27" s="106">
        <f>'Pasture 11A'!E14</f>
        <v>251.59</v>
      </c>
      <c r="AG27" s="106"/>
      <c r="AH27" s="106"/>
      <c r="AI27" s="106"/>
      <c r="AJ27" s="106">
        <f>'Pasture 12A'!E11</f>
        <v>3265.21</v>
      </c>
      <c r="AK27" s="106"/>
      <c r="AL27" s="106"/>
      <c r="AM27" s="106"/>
      <c r="AN27" s="106"/>
      <c r="AO27" s="106"/>
      <c r="AP27" s="106">
        <f>'Pasture 15'!E7</f>
        <v>1707.4</v>
      </c>
      <c r="AQ27" s="106"/>
      <c r="AS27" s="105">
        <v>1933</v>
      </c>
      <c r="AT27" s="111">
        <f t="shared" si="0"/>
        <v>19459.14</v>
      </c>
      <c r="AU27" s="111">
        <v>21472.18</v>
      </c>
      <c r="AV27" s="111">
        <f t="shared" si="1"/>
        <v>90.624892302504918</v>
      </c>
    </row>
    <row r="28" spans="1:48" x14ac:dyDescent="0.3">
      <c r="A28" s="105">
        <v>1934</v>
      </c>
      <c r="B28" s="106">
        <f>'Pasture 1'!E29</f>
        <v>316.62</v>
      </c>
      <c r="C28" s="106">
        <f>'Pasture 2N'!E21</f>
        <v>3827.51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>
        <f>'Pasture 3'!E15</f>
        <v>1661.6</v>
      </c>
      <c r="R28" s="106">
        <f>'Pasture 4'!E21</f>
        <v>269.97000000000003</v>
      </c>
      <c r="S28" s="106">
        <f>'Pasture 5N'!E18</f>
        <v>4118.6000000000004</v>
      </c>
      <c r="T28" s="106"/>
      <c r="U28" s="106"/>
      <c r="V28" s="106"/>
      <c r="W28" s="106">
        <f>'Pasture 6A'!E21</f>
        <v>3108.65</v>
      </c>
      <c r="X28" s="106"/>
      <c r="Y28" s="106"/>
      <c r="Z28" s="106"/>
      <c r="AA28" s="106"/>
      <c r="AB28" s="106"/>
      <c r="AC28" s="106">
        <f>'Pasture 8'!E22</f>
        <v>329.97</v>
      </c>
      <c r="AD28" s="106">
        <f>'Pasture 9'!E28</f>
        <v>361.6</v>
      </c>
      <c r="AE28" s="106">
        <f>'Pasture 10'!E28</f>
        <v>240.42</v>
      </c>
      <c r="AF28" s="106">
        <f>'Pasture 11A'!E15</f>
        <v>251.59</v>
      </c>
      <c r="AG28" s="106"/>
      <c r="AH28" s="106"/>
      <c r="AI28" s="106"/>
      <c r="AJ28" s="106">
        <f>'Pasture 12A'!E12</f>
        <v>3265.21</v>
      </c>
      <c r="AK28" s="106"/>
      <c r="AL28" s="106"/>
      <c r="AM28" s="106"/>
      <c r="AN28" s="106"/>
      <c r="AO28" s="106"/>
      <c r="AP28" s="106">
        <f>'Pasture 15'!E8</f>
        <v>1707.4</v>
      </c>
      <c r="AQ28" s="106"/>
      <c r="AS28" s="105">
        <v>1934</v>
      </c>
      <c r="AT28" s="111">
        <f t="shared" si="0"/>
        <v>19459.14</v>
      </c>
      <c r="AU28" s="111">
        <v>21472.18</v>
      </c>
      <c r="AV28" s="111">
        <f t="shared" si="1"/>
        <v>90.624892302504918</v>
      </c>
    </row>
    <row r="29" spans="1:48" x14ac:dyDescent="0.3">
      <c r="A29" s="105">
        <v>1935</v>
      </c>
      <c r="B29" s="106">
        <f>'Pasture 1'!E30</f>
        <v>316.62</v>
      </c>
      <c r="C29" s="106">
        <f>'Pasture 2N'!E22</f>
        <v>3827.51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>
        <f>'Pasture 3'!E16</f>
        <v>1661.6</v>
      </c>
      <c r="R29" s="106">
        <f>'Pasture 4'!E22</f>
        <v>269.97000000000003</v>
      </c>
      <c r="S29" s="106">
        <f>'Pasture 5N'!E19</f>
        <v>4118.6000000000004</v>
      </c>
      <c r="T29" s="106"/>
      <c r="U29" s="106"/>
      <c r="V29" s="106"/>
      <c r="W29" s="106">
        <f>'Pasture 6A'!E22</f>
        <v>3108.65</v>
      </c>
      <c r="X29" s="106"/>
      <c r="Y29" s="106"/>
      <c r="Z29" s="106"/>
      <c r="AA29" s="106"/>
      <c r="AB29" s="106"/>
      <c r="AC29" s="106">
        <f>'Pasture 8'!E23</f>
        <v>329.97</v>
      </c>
      <c r="AD29" s="106">
        <f>'Pasture 9'!E29</f>
        <v>361.6</v>
      </c>
      <c r="AE29" s="106">
        <f>'Pasture 10'!E29</f>
        <v>240.42</v>
      </c>
      <c r="AF29" s="106">
        <f>'Pasture 11A'!E16</f>
        <v>251.59</v>
      </c>
      <c r="AG29" s="106"/>
      <c r="AH29" s="106"/>
      <c r="AI29" s="106"/>
      <c r="AJ29" s="106">
        <f>'Pasture 12A'!E13</f>
        <v>3265.21</v>
      </c>
      <c r="AK29" s="106"/>
      <c r="AL29" s="106"/>
      <c r="AM29" s="106"/>
      <c r="AN29" s="106"/>
      <c r="AO29" s="106"/>
      <c r="AP29" s="106">
        <f>'Pasture 15'!E9</f>
        <v>1707.4</v>
      </c>
      <c r="AQ29" s="106"/>
      <c r="AS29" s="105">
        <v>1935</v>
      </c>
      <c r="AT29" s="111">
        <f t="shared" si="0"/>
        <v>19459.14</v>
      </c>
      <c r="AU29" s="111">
        <v>21472.18</v>
      </c>
      <c r="AV29" s="111">
        <f t="shared" si="1"/>
        <v>90.624892302504918</v>
      </c>
    </row>
    <row r="30" spans="1:48" x14ac:dyDescent="0.3">
      <c r="A30" s="105">
        <v>1936</v>
      </c>
      <c r="B30" s="106">
        <f>'Pasture 1'!E31</f>
        <v>316.62</v>
      </c>
      <c r="C30" s="106">
        <f>'Pasture 2N'!E23</f>
        <v>3827.51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>
        <f>'Pasture 3'!E17</f>
        <v>1661.6</v>
      </c>
      <c r="R30" s="106">
        <f>'Pasture 4'!E23</f>
        <v>269.97000000000003</v>
      </c>
      <c r="S30" s="106">
        <f>'Pasture 5N'!E20</f>
        <v>4118.6000000000004</v>
      </c>
      <c r="T30" s="106"/>
      <c r="U30" s="106"/>
      <c r="V30" s="106"/>
      <c r="W30" s="106">
        <f>'Pasture 6A'!E23</f>
        <v>3108.65</v>
      </c>
      <c r="X30" s="106"/>
      <c r="Y30" s="106"/>
      <c r="Z30" s="106"/>
      <c r="AA30" s="106"/>
      <c r="AB30" s="106"/>
      <c r="AC30" s="106">
        <f>'Pasture 8'!E24</f>
        <v>329.97</v>
      </c>
      <c r="AD30" s="106">
        <f>'Pasture 9'!E30</f>
        <v>361.6</v>
      </c>
      <c r="AE30" s="106">
        <f>'Pasture 10'!E30</f>
        <v>240.42</v>
      </c>
      <c r="AF30" s="106">
        <f>'Pasture 11A'!E17</f>
        <v>251.59</v>
      </c>
      <c r="AG30" s="106"/>
      <c r="AH30" s="106"/>
      <c r="AI30" s="106"/>
      <c r="AJ30" s="106">
        <f>'Pasture 12A'!E14</f>
        <v>3265.21</v>
      </c>
      <c r="AK30" s="106"/>
      <c r="AL30" s="106"/>
      <c r="AM30" s="106"/>
      <c r="AN30" s="106"/>
      <c r="AO30" s="106"/>
      <c r="AP30" s="106">
        <f>'Pasture 15'!E10</f>
        <v>1707.4</v>
      </c>
      <c r="AQ30" s="106"/>
      <c r="AS30" s="105">
        <v>1936</v>
      </c>
      <c r="AT30" s="111">
        <f t="shared" si="0"/>
        <v>19459.14</v>
      </c>
      <c r="AU30" s="111">
        <v>21472.18</v>
      </c>
      <c r="AV30" s="111">
        <f t="shared" si="1"/>
        <v>90.624892302504918</v>
      </c>
    </row>
    <row r="31" spans="1:48" x14ac:dyDescent="0.3">
      <c r="A31" s="105">
        <v>1937</v>
      </c>
      <c r="B31" s="106">
        <f>'Pasture 1'!E32</f>
        <v>316.62</v>
      </c>
      <c r="C31" s="106">
        <f>'Pasture 2N'!E24</f>
        <v>3827.51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>
        <f>'Pasture 3'!E18</f>
        <v>1661.6</v>
      </c>
      <c r="R31" s="106">
        <f>'Pasture 4'!E24</f>
        <v>269.97000000000003</v>
      </c>
      <c r="S31" s="106">
        <f>'Pasture 5N'!E21</f>
        <v>4118.6000000000004</v>
      </c>
      <c r="T31" s="106"/>
      <c r="U31" s="106"/>
      <c r="V31" s="106"/>
      <c r="W31" s="106"/>
      <c r="X31" s="106">
        <f>'Pasture 6A'!E24</f>
        <v>1455.86</v>
      </c>
      <c r="Y31" s="106">
        <f>'Pasture 6B'!E24</f>
        <v>1479.89</v>
      </c>
      <c r="Z31" s="106">
        <f>'Pasture 6C'!E24</f>
        <v>172.899</v>
      </c>
      <c r="AA31" s="106"/>
      <c r="AB31" s="106"/>
      <c r="AC31" s="106">
        <f>'Pasture 8'!E25</f>
        <v>329.97</v>
      </c>
      <c r="AD31" s="106">
        <f>'Pasture 9'!E31</f>
        <v>361.6</v>
      </c>
      <c r="AE31" s="106">
        <f>'Pasture 10'!E31</f>
        <v>240.42</v>
      </c>
      <c r="AF31" s="106">
        <f>'Pasture 11A'!E18</f>
        <v>251.59</v>
      </c>
      <c r="AG31" s="106"/>
      <c r="AH31" s="106"/>
      <c r="AI31" s="106"/>
      <c r="AJ31" s="106"/>
      <c r="AK31" s="106">
        <f>'Pasture 12A'!E15</f>
        <v>1166.55</v>
      </c>
      <c r="AL31" s="106">
        <f>'Pasture 12B'!E15</f>
        <v>2098.66</v>
      </c>
      <c r="AM31" s="106"/>
      <c r="AN31" s="106"/>
      <c r="AO31" s="106"/>
      <c r="AP31" s="106">
        <f>'Pasture 15'!E11</f>
        <v>1707.4</v>
      </c>
      <c r="AQ31" s="106"/>
      <c r="AS31" s="105">
        <v>1937</v>
      </c>
      <c r="AT31" s="111">
        <f t="shared" si="0"/>
        <v>19459.138999999999</v>
      </c>
      <c r="AU31" s="111">
        <v>21472.18</v>
      </c>
      <c r="AV31" s="111">
        <f t="shared" si="1"/>
        <v>90.624887645315937</v>
      </c>
    </row>
    <row r="32" spans="1:48" x14ac:dyDescent="0.3">
      <c r="A32" s="105">
        <v>1938</v>
      </c>
      <c r="B32" s="106">
        <f>'Pasture 1'!E33</f>
        <v>316.62</v>
      </c>
      <c r="C32" s="106">
        <f>'Pasture 2N'!E25</f>
        <v>3827.51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>
        <f>'Pasture 3'!E19</f>
        <v>1661.6</v>
      </c>
      <c r="R32" s="106">
        <f>'Pasture 4'!E25</f>
        <v>269.97000000000003</v>
      </c>
      <c r="S32" s="106">
        <f>'Pasture 5N'!E22</f>
        <v>4118.6000000000004</v>
      </c>
      <c r="T32" s="106"/>
      <c r="U32" s="106"/>
      <c r="V32" s="106"/>
      <c r="W32" s="106"/>
      <c r="X32" s="106">
        <f>'Pasture 6A'!E25</f>
        <v>1455.86</v>
      </c>
      <c r="Y32" s="106">
        <f>'Pasture 6B'!E25</f>
        <v>1479.89</v>
      </c>
      <c r="Z32" s="106">
        <f>'Pasture 6C'!E25</f>
        <v>172.899</v>
      </c>
      <c r="AA32" s="106"/>
      <c r="AB32" s="106"/>
      <c r="AC32" s="106">
        <f>'Pasture 8'!E26</f>
        <v>329.97</v>
      </c>
      <c r="AD32" s="106">
        <f>'Pasture 9'!E32</f>
        <v>361.6</v>
      </c>
      <c r="AE32" s="106">
        <f>'Pasture 10'!E32</f>
        <v>240.42</v>
      </c>
      <c r="AF32" s="106">
        <f>'Pasture 11A'!E19</f>
        <v>251.59</v>
      </c>
      <c r="AG32" s="106"/>
      <c r="AH32" s="106"/>
      <c r="AI32" s="106"/>
      <c r="AJ32" s="106"/>
      <c r="AK32" s="106">
        <f>'Pasture 12A'!E16</f>
        <v>1166.55</v>
      </c>
      <c r="AL32" s="106">
        <f>'Pasture 12B'!E16</f>
        <v>2098.66</v>
      </c>
      <c r="AM32" s="106"/>
      <c r="AN32" s="106"/>
      <c r="AO32" s="106"/>
      <c r="AP32" s="106">
        <f>'Pasture 15'!E12</f>
        <v>1707.4</v>
      </c>
      <c r="AQ32" s="106"/>
      <c r="AS32" s="105">
        <v>1938</v>
      </c>
      <c r="AT32" s="111">
        <f t="shared" si="0"/>
        <v>19459.138999999999</v>
      </c>
      <c r="AU32" s="111">
        <v>21472.18</v>
      </c>
      <c r="AV32" s="111">
        <f t="shared" si="1"/>
        <v>90.624887645315937</v>
      </c>
    </row>
    <row r="33" spans="1:48" x14ac:dyDescent="0.3">
      <c r="A33" s="105">
        <v>1939</v>
      </c>
      <c r="B33" s="106">
        <f>'Pasture 1'!E34</f>
        <v>316.62</v>
      </c>
      <c r="C33" s="106">
        <f>'Pasture 2N'!E26</f>
        <v>3827.51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>
        <f>'Pasture 3'!E20</f>
        <v>1661.6</v>
      </c>
      <c r="R33" s="106">
        <f>'Pasture 4'!E26</f>
        <v>269.97000000000003</v>
      </c>
      <c r="S33" s="106">
        <f>'Pasture 5N'!E23</f>
        <v>4118.6000000000004</v>
      </c>
      <c r="T33" s="106"/>
      <c r="U33" s="106"/>
      <c r="V33" s="106"/>
      <c r="W33" s="106"/>
      <c r="X33" s="106">
        <f>'Pasture 6A'!E26</f>
        <v>1455.86</v>
      </c>
      <c r="Y33" s="106">
        <f>'Pasture 6B'!E26</f>
        <v>1479.89</v>
      </c>
      <c r="Z33" s="106">
        <f>'Pasture 6C'!E26</f>
        <v>172.899</v>
      </c>
      <c r="AA33" s="106"/>
      <c r="AB33" s="106"/>
      <c r="AC33" s="106">
        <f>'Pasture 8'!E27</f>
        <v>329.97</v>
      </c>
      <c r="AD33" s="106">
        <f>'Pasture 9'!E33</f>
        <v>361.6</v>
      </c>
      <c r="AE33" s="106">
        <f>'Pasture 10'!E33</f>
        <v>240.42</v>
      </c>
      <c r="AF33" s="106">
        <f>'Pasture 11A'!E20</f>
        <v>251.59</v>
      </c>
      <c r="AG33" s="106"/>
      <c r="AH33" s="106"/>
      <c r="AI33" s="106"/>
      <c r="AJ33" s="106"/>
      <c r="AK33" s="106">
        <f>'Pasture 12A'!E17</f>
        <v>1166.55</v>
      </c>
      <c r="AL33" s="106">
        <f>'Pasture 12B'!E17</f>
        <v>2098.66</v>
      </c>
      <c r="AM33" s="106"/>
      <c r="AN33" s="106"/>
      <c r="AO33" s="106"/>
      <c r="AP33" s="106">
        <f>'Pasture 15'!E13</f>
        <v>1707.4</v>
      </c>
      <c r="AQ33" s="106"/>
      <c r="AS33" s="105">
        <v>1939</v>
      </c>
      <c r="AT33" s="111">
        <f t="shared" si="0"/>
        <v>19459.138999999999</v>
      </c>
      <c r="AU33" s="111">
        <v>21472.18</v>
      </c>
      <c r="AV33" s="111">
        <f t="shared" si="1"/>
        <v>90.624887645315937</v>
      </c>
    </row>
    <row r="34" spans="1:48" x14ac:dyDescent="0.3">
      <c r="A34" s="105">
        <v>1940</v>
      </c>
      <c r="B34" s="106">
        <f>'Pasture 1'!E35</f>
        <v>316.62</v>
      </c>
      <c r="C34" s="106">
        <f>'Pasture 2N'!E27</f>
        <v>3827.51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>
        <f>'Pasture 3'!E21</f>
        <v>1661.6</v>
      </c>
      <c r="R34" s="106">
        <f>'Pasture 4'!E27</f>
        <v>269.97000000000003</v>
      </c>
      <c r="S34" s="106">
        <f>'Pasture 5N'!E24</f>
        <v>4118.6000000000004</v>
      </c>
      <c r="T34" s="106"/>
      <c r="U34" s="106"/>
      <c r="V34" s="106"/>
      <c r="W34" s="106"/>
      <c r="X34" s="106">
        <f>'Pasture 6A'!E27</f>
        <v>1455.86</v>
      </c>
      <c r="Y34" s="106">
        <f>'Pasture 6B'!E27</f>
        <v>1479.89</v>
      </c>
      <c r="Z34" s="106">
        <f>'Pasture 6C'!E27</f>
        <v>172.899</v>
      </c>
      <c r="AA34" s="106"/>
      <c r="AB34" s="106"/>
      <c r="AC34" s="106">
        <f>'Pasture 8'!E28</f>
        <v>329.97</v>
      </c>
      <c r="AD34" s="106">
        <f>'Pasture 9'!E34</f>
        <v>361.6</v>
      </c>
      <c r="AE34" s="106">
        <f>'Pasture 10'!E34</f>
        <v>240.42</v>
      </c>
      <c r="AF34" s="106">
        <f>'Pasture 11A'!E21</f>
        <v>251.59</v>
      </c>
      <c r="AG34" s="106"/>
      <c r="AH34" s="106"/>
      <c r="AI34" s="106"/>
      <c r="AJ34" s="106"/>
      <c r="AK34" s="106">
        <f>'Pasture 12A'!E18</f>
        <v>1166.55</v>
      </c>
      <c r="AL34" s="106">
        <f>'Pasture 12B'!E18</f>
        <v>2098.66</v>
      </c>
      <c r="AM34" s="106"/>
      <c r="AN34" s="106"/>
      <c r="AO34" s="106"/>
      <c r="AP34" s="106">
        <f>'Pasture 15'!E14</f>
        <v>1707.4</v>
      </c>
      <c r="AQ34" s="106"/>
      <c r="AS34" s="105">
        <v>1940</v>
      </c>
      <c r="AT34" s="111">
        <f t="shared" si="0"/>
        <v>19459.138999999999</v>
      </c>
      <c r="AU34" s="111">
        <v>21472.18</v>
      </c>
      <c r="AV34" s="111">
        <f t="shared" si="1"/>
        <v>90.624887645315937</v>
      </c>
    </row>
    <row r="35" spans="1:48" x14ac:dyDescent="0.3">
      <c r="A35" s="105">
        <v>1941</v>
      </c>
      <c r="B35" s="106">
        <f>'Pasture 1'!E36</f>
        <v>316.62</v>
      </c>
      <c r="C35" s="106">
        <f>'Pasture 2N'!E28</f>
        <v>3827.51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>
        <f>'Pasture 3'!E22</f>
        <v>1661.6</v>
      </c>
      <c r="R35" s="106">
        <f>'Pasture 4'!E28</f>
        <v>269.97000000000003</v>
      </c>
      <c r="S35" s="106">
        <f>'Pasture 5N'!E25</f>
        <v>4118.6000000000004</v>
      </c>
      <c r="T35" s="106"/>
      <c r="U35" s="106"/>
      <c r="V35" s="106"/>
      <c r="W35" s="106"/>
      <c r="X35" s="106">
        <f>'Pasture 6A'!E28</f>
        <v>1455.86</v>
      </c>
      <c r="Y35" s="106">
        <f>'Pasture 6B'!E28</f>
        <v>1479.89</v>
      </c>
      <c r="Z35" s="106">
        <f>'Pasture 6C'!E28</f>
        <v>172.899</v>
      </c>
      <c r="AA35" s="106"/>
      <c r="AB35" s="106"/>
      <c r="AC35" s="106">
        <f>'Pasture 8'!E29</f>
        <v>329.97</v>
      </c>
      <c r="AD35" s="106">
        <f>'Pasture 9'!E35</f>
        <v>361.6</v>
      </c>
      <c r="AE35" s="106">
        <f>'Pasture 10'!E35</f>
        <v>240.42</v>
      </c>
      <c r="AF35" s="106">
        <f>'Pasture 11A'!E22</f>
        <v>251.59</v>
      </c>
      <c r="AG35" s="106"/>
      <c r="AH35" s="106"/>
      <c r="AI35" s="106"/>
      <c r="AJ35" s="106"/>
      <c r="AK35" s="106">
        <f>'Pasture 12A'!E19</f>
        <v>1166.55</v>
      </c>
      <c r="AL35" s="106">
        <f>'Pasture 12B'!E19</f>
        <v>2098.66</v>
      </c>
      <c r="AM35" s="106"/>
      <c r="AN35" s="106"/>
      <c r="AO35" s="106"/>
      <c r="AP35" s="106">
        <f>'Pasture 15'!E15</f>
        <v>1707.4</v>
      </c>
      <c r="AQ35" s="106">
        <f>'Pasture 140'!E3</f>
        <v>62.28</v>
      </c>
      <c r="AS35" s="105">
        <v>1941</v>
      </c>
      <c r="AT35" s="111">
        <f t="shared" si="0"/>
        <v>19521.418999999998</v>
      </c>
      <c r="AU35" s="111">
        <v>21472.18</v>
      </c>
      <c r="AV35" s="111">
        <f t="shared" si="1"/>
        <v>90.914937374779825</v>
      </c>
    </row>
    <row r="36" spans="1:48" x14ac:dyDescent="0.3">
      <c r="A36" s="105">
        <v>1942</v>
      </c>
      <c r="B36" s="106">
        <f>'Pasture 1'!E37</f>
        <v>316.62</v>
      </c>
      <c r="C36" s="106">
        <f>'Pasture 2N'!E29</f>
        <v>3827.51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>
        <f>'Pasture 3'!E23</f>
        <v>1661.6</v>
      </c>
      <c r="R36" s="106">
        <f>'Pasture 4'!E29</f>
        <v>269.97000000000003</v>
      </c>
      <c r="S36" s="106">
        <f>'Pasture 5N'!E26</f>
        <v>4118.6000000000004</v>
      </c>
      <c r="T36" s="106"/>
      <c r="U36" s="106"/>
      <c r="V36" s="106"/>
      <c r="W36" s="106"/>
      <c r="X36" s="106">
        <f>'Pasture 6A'!E29</f>
        <v>1455.86</v>
      </c>
      <c r="Y36" s="106">
        <f>'Pasture 6B'!E29</f>
        <v>1479.89</v>
      </c>
      <c r="Z36" s="106">
        <f>'Pasture 6C'!E29</f>
        <v>172.899</v>
      </c>
      <c r="AA36" s="106"/>
      <c r="AB36" s="106"/>
      <c r="AC36" s="106">
        <f>'Pasture 8'!E30</f>
        <v>329.97</v>
      </c>
      <c r="AD36" s="106">
        <f>'Pasture 9'!E36</f>
        <v>361.6</v>
      </c>
      <c r="AE36" s="106">
        <f>'Pasture 10'!E36</f>
        <v>240.42</v>
      </c>
      <c r="AF36" s="106"/>
      <c r="AG36" s="106">
        <f>'Pasture 11A'!E23</f>
        <v>79.180000000000007</v>
      </c>
      <c r="AH36" s="106">
        <f>'Pasture 11B'!E23</f>
        <v>172.4</v>
      </c>
      <c r="AI36" s="106"/>
      <c r="AJ36" s="106"/>
      <c r="AK36" s="106">
        <f>'Pasture 12A'!E20</f>
        <v>1166.55</v>
      </c>
      <c r="AL36" s="106">
        <f>'Pasture 12B'!E20</f>
        <v>2098.66</v>
      </c>
      <c r="AM36" s="106"/>
      <c r="AN36" s="106"/>
      <c r="AO36" s="106"/>
      <c r="AP36" s="106">
        <f>'Pasture 15'!E16</f>
        <v>1707.4</v>
      </c>
      <c r="AQ36" s="106">
        <f>'Pasture 140'!E4</f>
        <v>62.28</v>
      </c>
      <c r="AS36" s="105">
        <v>1942</v>
      </c>
      <c r="AT36" s="111">
        <f t="shared" si="0"/>
        <v>19521.409</v>
      </c>
      <c r="AU36" s="111">
        <v>21472.18</v>
      </c>
      <c r="AV36" s="111">
        <f t="shared" si="1"/>
        <v>90.914890802890056</v>
      </c>
    </row>
    <row r="37" spans="1:48" x14ac:dyDescent="0.3">
      <c r="A37" s="105">
        <v>1943</v>
      </c>
      <c r="B37" s="106">
        <f>'Pasture 1'!E38</f>
        <v>316.62</v>
      </c>
      <c r="C37" s="106">
        <f>'Pasture 2N'!E30</f>
        <v>3827.51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>
        <f>'Pasture 3'!E24</f>
        <v>1661.6</v>
      </c>
      <c r="R37" s="106">
        <f>'Pasture 4'!E30</f>
        <v>269.97000000000003</v>
      </c>
      <c r="S37" s="106">
        <f>'Pasture 5N'!E27</f>
        <v>4118.6000000000004</v>
      </c>
      <c r="T37" s="106"/>
      <c r="U37" s="106"/>
      <c r="V37" s="106"/>
      <c r="W37" s="106"/>
      <c r="X37" s="106">
        <f>'Pasture 6A'!E30</f>
        <v>1455.86</v>
      </c>
      <c r="Y37" s="106">
        <f>'Pasture 6B'!E30</f>
        <v>1479.89</v>
      </c>
      <c r="Z37" s="106">
        <f>'Pasture 6C'!E30</f>
        <v>172.899</v>
      </c>
      <c r="AA37" s="106"/>
      <c r="AB37" s="106"/>
      <c r="AC37" s="106">
        <f>'Pasture 8'!E31</f>
        <v>329.97</v>
      </c>
      <c r="AD37" s="106">
        <f>'Pasture 9'!E37</f>
        <v>361.6</v>
      </c>
      <c r="AE37" s="106">
        <f>'Pasture 10'!E37</f>
        <v>240.42</v>
      </c>
      <c r="AF37" s="106"/>
      <c r="AG37" s="106">
        <f>'Pasture 11A'!E24</f>
        <v>79.180000000000007</v>
      </c>
      <c r="AH37" s="106">
        <f>'Pasture 11B'!E24</f>
        <v>172.4</v>
      </c>
      <c r="AI37" s="106"/>
      <c r="AJ37" s="106"/>
      <c r="AK37" s="106">
        <f>'Pasture 12A'!E21</f>
        <v>1166.55</v>
      </c>
      <c r="AL37" s="106">
        <f>'Pasture 12B'!E21</f>
        <v>2098.66</v>
      </c>
      <c r="AM37" s="106"/>
      <c r="AN37" s="106"/>
      <c r="AO37" s="106"/>
      <c r="AP37" s="106">
        <f>'Pasture 15'!E17</f>
        <v>1707.4</v>
      </c>
      <c r="AQ37" s="106">
        <f>'Pasture 140'!E5</f>
        <v>62.28</v>
      </c>
      <c r="AS37" s="105">
        <v>1943</v>
      </c>
      <c r="AT37" s="111">
        <f t="shared" si="0"/>
        <v>19521.409</v>
      </c>
      <c r="AU37" s="111">
        <v>21472.18</v>
      </c>
      <c r="AV37" s="111">
        <f t="shared" si="1"/>
        <v>90.914890802890056</v>
      </c>
    </row>
    <row r="38" spans="1:48" x14ac:dyDescent="0.3">
      <c r="A38" s="105">
        <v>1944</v>
      </c>
      <c r="B38" s="106">
        <f>'Pasture 1'!E39</f>
        <v>316.62</v>
      </c>
      <c r="C38" s="106">
        <f>'Pasture 2N'!E31</f>
        <v>3827.51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>
        <f>'Pasture 3'!E25</f>
        <v>1661.6</v>
      </c>
      <c r="R38" s="106">
        <f>'Pasture 4'!E31</f>
        <v>269.97000000000003</v>
      </c>
      <c r="S38" s="106">
        <f>'Pasture 5N'!E28</f>
        <v>4118.6000000000004</v>
      </c>
      <c r="T38" s="106"/>
      <c r="U38" s="106"/>
      <c r="V38" s="106"/>
      <c r="W38" s="106"/>
      <c r="X38" s="106">
        <f>'Pasture 6A'!E31</f>
        <v>1455.86</v>
      </c>
      <c r="Y38" s="106">
        <f>'Pasture 6B'!E31</f>
        <v>1479.89</v>
      </c>
      <c r="Z38" s="106">
        <f>'Pasture 6C'!E31</f>
        <v>172.899</v>
      </c>
      <c r="AA38" s="106"/>
      <c r="AB38" s="106"/>
      <c r="AC38" s="106">
        <f>'Pasture 8'!E32</f>
        <v>329.97</v>
      </c>
      <c r="AD38" s="106">
        <f>'Pasture 9'!E38</f>
        <v>361.6</v>
      </c>
      <c r="AE38" s="106">
        <f>'Pasture 10'!E38</f>
        <v>240.42</v>
      </c>
      <c r="AF38" s="106"/>
      <c r="AG38" s="106">
        <f>'Pasture 11A'!E25</f>
        <v>79.180000000000007</v>
      </c>
      <c r="AH38" s="106">
        <f>'Pasture 11B'!E25</f>
        <v>172.4</v>
      </c>
      <c r="AI38" s="106"/>
      <c r="AJ38" s="106"/>
      <c r="AK38" s="106">
        <f>'Pasture 12A'!E22</f>
        <v>1166.55</v>
      </c>
      <c r="AL38" s="106">
        <f>'Pasture 12B'!E22</f>
        <v>2098.66</v>
      </c>
      <c r="AM38" s="106"/>
      <c r="AN38" s="106"/>
      <c r="AO38" s="106"/>
      <c r="AP38" s="106">
        <f>'Pasture 15'!E18</f>
        <v>1707.4</v>
      </c>
      <c r="AQ38" s="106">
        <f>'Pasture 140'!E6</f>
        <v>62.28</v>
      </c>
      <c r="AS38" s="105">
        <v>1944</v>
      </c>
      <c r="AT38" s="111">
        <f t="shared" si="0"/>
        <v>19521.409</v>
      </c>
      <c r="AU38" s="111">
        <v>21472.18</v>
      </c>
      <c r="AV38" s="111">
        <f t="shared" si="1"/>
        <v>90.914890802890056</v>
      </c>
    </row>
    <row r="39" spans="1:48" x14ac:dyDescent="0.3">
      <c r="A39" s="105">
        <v>1945</v>
      </c>
      <c r="B39" s="106">
        <f>'Pasture 1'!E40</f>
        <v>316.62</v>
      </c>
      <c r="C39" s="106">
        <f>'Pasture 2N'!E32</f>
        <v>3827.51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>
        <f>'Pasture 3'!E26</f>
        <v>1661.6</v>
      </c>
      <c r="R39" s="106">
        <f>'Pasture 4'!E32</f>
        <v>269.97000000000003</v>
      </c>
      <c r="S39" s="106">
        <f>'Pasture 5N'!E29</f>
        <v>4118.6000000000004</v>
      </c>
      <c r="T39" s="106"/>
      <c r="U39" s="106"/>
      <c r="V39" s="106"/>
      <c r="W39" s="106"/>
      <c r="X39" s="106">
        <f>'Pasture 6A'!E32</f>
        <v>1455.86</v>
      </c>
      <c r="Y39" s="106">
        <f>'Pasture 6B'!E32</f>
        <v>1479.89</v>
      </c>
      <c r="Z39" s="106">
        <f>'Pasture 6C'!E32</f>
        <v>172.899</v>
      </c>
      <c r="AA39" s="106"/>
      <c r="AB39" s="106"/>
      <c r="AC39" s="106">
        <f>'Pasture 8'!E33</f>
        <v>329.97</v>
      </c>
      <c r="AD39" s="106">
        <f>'Pasture 9'!E39</f>
        <v>361.6</v>
      </c>
      <c r="AE39" s="106">
        <f>'Pasture 10'!E39</f>
        <v>240.42</v>
      </c>
      <c r="AF39" s="106"/>
      <c r="AG39" s="106">
        <f>'Pasture 11A'!E26</f>
        <v>79.180000000000007</v>
      </c>
      <c r="AH39" s="106">
        <f>'Pasture 11B'!E26</f>
        <v>172.4</v>
      </c>
      <c r="AI39" s="106"/>
      <c r="AJ39" s="106"/>
      <c r="AK39" s="106">
        <f>'Pasture 12A'!E23</f>
        <v>1166.55</v>
      </c>
      <c r="AL39" s="106">
        <f>'Pasture 12B'!E23</f>
        <v>2098.66</v>
      </c>
      <c r="AM39" s="106"/>
      <c r="AN39" s="106"/>
      <c r="AO39" s="106"/>
      <c r="AP39" s="106">
        <f>'Pasture 15'!E19</f>
        <v>1707.4</v>
      </c>
      <c r="AQ39" s="106">
        <f>'Pasture 140'!E7</f>
        <v>62.28</v>
      </c>
      <c r="AS39" s="105">
        <v>1945</v>
      </c>
      <c r="AT39" s="111">
        <f t="shared" si="0"/>
        <v>19521.409</v>
      </c>
      <c r="AU39" s="111">
        <v>21472.18</v>
      </c>
      <c r="AV39" s="111">
        <f t="shared" si="1"/>
        <v>90.914890802890056</v>
      </c>
    </row>
    <row r="40" spans="1:48" x14ac:dyDescent="0.3">
      <c r="A40" s="105">
        <v>1946</v>
      </c>
      <c r="B40" s="106">
        <f>'Pasture 1'!E41</f>
        <v>316.62</v>
      </c>
      <c r="C40" s="106">
        <f>'Pasture 2N'!E33</f>
        <v>3827.51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>
        <f>'Pasture 3'!E27</f>
        <v>1661.6</v>
      </c>
      <c r="R40" s="106">
        <f>'Pasture 4'!E33</f>
        <v>269.97000000000003</v>
      </c>
      <c r="S40" s="106">
        <f>'Pasture 5N'!E30</f>
        <v>4118.6000000000004</v>
      </c>
      <c r="T40" s="106"/>
      <c r="U40" s="106"/>
      <c r="V40" s="106"/>
      <c r="W40" s="106"/>
      <c r="X40" s="106">
        <f>'Pasture 6A'!E33</f>
        <v>1455.86</v>
      </c>
      <c r="Y40" s="106">
        <f>'Pasture 6B'!E33</f>
        <v>1479.89</v>
      </c>
      <c r="Z40" s="106">
        <f>'Pasture 6C'!E33</f>
        <v>172.899</v>
      </c>
      <c r="AA40" s="106"/>
      <c r="AB40" s="106"/>
      <c r="AC40" s="106">
        <f>'Pasture 8'!E34</f>
        <v>329.97</v>
      </c>
      <c r="AD40" s="106">
        <f>'Pasture 9'!E40</f>
        <v>361.6</v>
      </c>
      <c r="AE40" s="106">
        <f>'Pasture 10'!E40</f>
        <v>240.42</v>
      </c>
      <c r="AF40" s="106"/>
      <c r="AG40" s="106">
        <f>'Pasture 11A'!E27</f>
        <v>79.180000000000007</v>
      </c>
      <c r="AH40" s="106">
        <f>'Pasture 11B'!E27</f>
        <v>172.4</v>
      </c>
      <c r="AI40" s="106"/>
      <c r="AJ40" s="106"/>
      <c r="AK40" s="106">
        <f>'Pasture 12A'!E24</f>
        <v>1166.55</v>
      </c>
      <c r="AL40" s="106">
        <f>'Pasture 12B'!E24</f>
        <v>2098.66</v>
      </c>
      <c r="AM40" s="106"/>
      <c r="AN40" s="106"/>
      <c r="AO40" s="106"/>
      <c r="AP40" s="106">
        <f>'Pasture 15'!E20</f>
        <v>1707.4</v>
      </c>
      <c r="AQ40" s="106">
        <f>'Pasture 140'!E8</f>
        <v>62.28</v>
      </c>
      <c r="AS40" s="105">
        <v>1946</v>
      </c>
      <c r="AT40" s="111">
        <f t="shared" si="0"/>
        <v>19521.409</v>
      </c>
      <c r="AU40" s="111">
        <v>21472.18</v>
      </c>
      <c r="AV40" s="111">
        <f t="shared" si="1"/>
        <v>90.914890802890056</v>
      </c>
    </row>
    <row r="41" spans="1:48" x14ac:dyDescent="0.3">
      <c r="A41" s="105">
        <v>1947</v>
      </c>
      <c r="B41" s="106">
        <f>'Pasture 1'!E42</f>
        <v>316.62</v>
      </c>
      <c r="C41" s="106">
        <f>'Pasture 2N'!E34</f>
        <v>3827.51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>
        <f>'Pasture 3'!E28</f>
        <v>1661.6</v>
      </c>
      <c r="R41" s="106">
        <f>'Pasture 4'!E34</f>
        <v>269.97000000000003</v>
      </c>
      <c r="S41" s="106">
        <f>'Pasture 5N'!E31</f>
        <v>4118.6000000000004</v>
      </c>
      <c r="T41" s="106"/>
      <c r="U41" s="106"/>
      <c r="V41" s="106"/>
      <c r="W41" s="106"/>
      <c r="X41" s="106">
        <f>'Pasture 6A'!E34</f>
        <v>1455.86</v>
      </c>
      <c r="Y41" s="106">
        <f>'Pasture 6B'!E34</f>
        <v>1479.89</v>
      </c>
      <c r="Z41" s="106">
        <f>'Pasture 6C'!E34</f>
        <v>172.899</v>
      </c>
      <c r="AA41" s="106"/>
      <c r="AB41" s="106"/>
      <c r="AC41" s="106">
        <f>'Pasture 8'!E35</f>
        <v>329.97</v>
      </c>
      <c r="AD41" s="106">
        <f>'Pasture 9'!E41</f>
        <v>361.6</v>
      </c>
      <c r="AE41" s="106">
        <f>'Pasture 10'!E41</f>
        <v>240.42</v>
      </c>
      <c r="AF41" s="106"/>
      <c r="AG41" s="106">
        <f>'Pasture 11A'!E28</f>
        <v>79.180000000000007</v>
      </c>
      <c r="AH41" s="106">
        <f>'Pasture 11B'!E28</f>
        <v>172.4</v>
      </c>
      <c r="AI41" s="106"/>
      <c r="AJ41" s="106"/>
      <c r="AK41" s="106">
        <f>'Pasture 12A'!E25</f>
        <v>1166.55</v>
      </c>
      <c r="AL41" s="106">
        <f>'Pasture 12B'!E25</f>
        <v>2098.66</v>
      </c>
      <c r="AM41" s="106"/>
      <c r="AN41" s="106"/>
      <c r="AO41" s="106"/>
      <c r="AP41" s="106">
        <f>'Pasture 15'!E21</f>
        <v>1707.4</v>
      </c>
      <c r="AQ41" s="106">
        <f>'Pasture 140'!E9</f>
        <v>62.28</v>
      </c>
      <c r="AS41" s="105">
        <v>1947</v>
      </c>
      <c r="AT41" s="111">
        <f t="shared" si="0"/>
        <v>19521.409</v>
      </c>
      <c r="AU41" s="111">
        <v>21472.18</v>
      </c>
      <c r="AV41" s="111">
        <f t="shared" si="1"/>
        <v>90.914890802890056</v>
      </c>
    </row>
    <row r="42" spans="1:48" x14ac:dyDescent="0.3">
      <c r="A42" s="105">
        <v>1948</v>
      </c>
      <c r="B42" s="106">
        <f>'Pasture 1'!E43</f>
        <v>316.62</v>
      </c>
      <c r="C42" s="106">
        <f>'Pasture 2N'!E35</f>
        <v>3827.51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>
        <f>'Pasture 3'!E29</f>
        <v>1661.6</v>
      </c>
      <c r="R42" s="106">
        <f>'Pasture 4'!E35</f>
        <v>269.97000000000003</v>
      </c>
      <c r="S42" s="106">
        <f>'Pasture 5N'!E32</f>
        <v>4118.6000000000004</v>
      </c>
      <c r="T42" s="106"/>
      <c r="U42" s="106"/>
      <c r="V42" s="106"/>
      <c r="W42" s="106"/>
      <c r="X42" s="106">
        <f>'Pasture 6A'!E35</f>
        <v>1455.86</v>
      </c>
      <c r="Y42" s="106">
        <f>'Pasture 6B'!E35</f>
        <v>1479.89</v>
      </c>
      <c r="Z42" s="106">
        <f>'Pasture 6C'!E35</f>
        <v>172.899</v>
      </c>
      <c r="AA42" s="106"/>
      <c r="AB42" s="106"/>
      <c r="AC42" s="106">
        <f>'Pasture 8'!E36</f>
        <v>329.97</v>
      </c>
      <c r="AD42" s="106">
        <f>'Pasture 9'!E42</f>
        <v>361.6</v>
      </c>
      <c r="AE42" s="106">
        <f>'Pasture 10'!E42</f>
        <v>240.42</v>
      </c>
      <c r="AF42" s="106"/>
      <c r="AG42" s="106">
        <f>'Pasture 11A'!E29</f>
        <v>79.180000000000007</v>
      </c>
      <c r="AH42" s="106">
        <f>'Pasture 11B'!E29</f>
        <v>172.4</v>
      </c>
      <c r="AI42" s="106"/>
      <c r="AJ42" s="106"/>
      <c r="AK42" s="106">
        <f>'Pasture 12A'!E26</f>
        <v>1166.55</v>
      </c>
      <c r="AL42" s="106">
        <f>'Pasture 12B'!E26</f>
        <v>2098.66</v>
      </c>
      <c r="AM42" s="106"/>
      <c r="AN42" s="106"/>
      <c r="AO42" s="106"/>
      <c r="AP42" s="106">
        <f>'Pasture 15'!E22</f>
        <v>1707.4</v>
      </c>
      <c r="AQ42" s="106">
        <f>'Pasture 140'!E10</f>
        <v>62.28</v>
      </c>
      <c r="AS42" s="105">
        <v>1948</v>
      </c>
      <c r="AT42" s="111">
        <f t="shared" si="0"/>
        <v>19521.409</v>
      </c>
      <c r="AU42" s="111">
        <v>21472.18</v>
      </c>
      <c r="AV42" s="111">
        <f t="shared" si="1"/>
        <v>90.914890802890056</v>
      </c>
    </row>
    <row r="43" spans="1:48" x14ac:dyDescent="0.3">
      <c r="A43" s="105">
        <v>1949</v>
      </c>
      <c r="B43" s="106">
        <f>'Pasture 1'!E44</f>
        <v>316.62</v>
      </c>
      <c r="C43" s="106">
        <f>'Pasture 2N'!E36</f>
        <v>3827.51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>
        <f>'Pasture 3'!E30</f>
        <v>1661.6</v>
      </c>
      <c r="R43" s="106">
        <f>'Pasture 4'!E36</f>
        <v>269.97000000000003</v>
      </c>
      <c r="S43" s="106">
        <f>'Pasture 5N'!E33</f>
        <v>4118.6000000000004</v>
      </c>
      <c r="T43" s="106"/>
      <c r="U43" s="106"/>
      <c r="V43" s="106"/>
      <c r="W43" s="106"/>
      <c r="X43" s="106">
        <f>'Pasture 6A'!E36</f>
        <v>1455.86</v>
      </c>
      <c r="Y43" s="106">
        <f>'Pasture 6B'!E36</f>
        <v>1479.89</v>
      </c>
      <c r="Z43" s="106">
        <f>'Pasture 6C'!E36</f>
        <v>172.899</v>
      </c>
      <c r="AA43" s="106"/>
      <c r="AB43" s="106"/>
      <c r="AC43" s="106">
        <f>'Pasture 8'!E37</f>
        <v>329.97</v>
      </c>
      <c r="AD43" s="106">
        <f>'Pasture 9'!E43</f>
        <v>361.6</v>
      </c>
      <c r="AE43" s="106">
        <f>'Pasture 10'!E43</f>
        <v>240.42</v>
      </c>
      <c r="AF43" s="106"/>
      <c r="AG43" s="106">
        <f>'Pasture 11A'!E30</f>
        <v>79.180000000000007</v>
      </c>
      <c r="AH43" s="106">
        <f>'Pasture 11B'!E30</f>
        <v>172.4</v>
      </c>
      <c r="AI43" s="106"/>
      <c r="AJ43" s="106"/>
      <c r="AK43" s="106">
        <f>'Pasture 12A'!E27</f>
        <v>1166.55</v>
      </c>
      <c r="AL43" s="106">
        <f>'Pasture 12B'!E27</f>
        <v>2098.66</v>
      </c>
      <c r="AM43" s="106"/>
      <c r="AN43" s="106"/>
      <c r="AO43" s="106"/>
      <c r="AP43" s="106">
        <f>'Pasture 15'!E23</f>
        <v>1707.4</v>
      </c>
      <c r="AQ43" s="106">
        <f>'Pasture 140'!E11</f>
        <v>62.28</v>
      </c>
      <c r="AS43" s="105">
        <v>1949</v>
      </c>
      <c r="AT43" s="111">
        <f t="shared" si="0"/>
        <v>19521.409</v>
      </c>
      <c r="AU43" s="111">
        <v>21472.18</v>
      </c>
      <c r="AV43" s="111">
        <f t="shared" si="1"/>
        <v>90.914890802890056</v>
      </c>
    </row>
    <row r="44" spans="1:48" x14ac:dyDescent="0.3">
      <c r="A44" s="105">
        <v>1950</v>
      </c>
      <c r="B44" s="106">
        <f>'Pasture 1'!E45</f>
        <v>316.62</v>
      </c>
      <c r="C44" s="106">
        <f>'Pasture 2N'!E37</f>
        <v>3827.51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>
        <f>'Pasture 3'!E31</f>
        <v>1661.6</v>
      </c>
      <c r="R44" s="106">
        <f>'Pasture 4'!E37</f>
        <v>269.97000000000003</v>
      </c>
      <c r="S44" s="106">
        <f>'Pasture 5N'!E34</f>
        <v>4118.6000000000004</v>
      </c>
      <c r="T44" s="106"/>
      <c r="U44" s="106"/>
      <c r="V44" s="106"/>
      <c r="W44" s="106"/>
      <c r="X44" s="106">
        <f>'Pasture 6A'!E37</f>
        <v>1455.86</v>
      </c>
      <c r="Y44" s="106">
        <f>'Pasture 6B'!E37</f>
        <v>1479.89</v>
      </c>
      <c r="Z44" s="106">
        <f>'Pasture 6C'!E37</f>
        <v>172.899</v>
      </c>
      <c r="AA44" s="106"/>
      <c r="AB44" s="106"/>
      <c r="AC44" s="106">
        <f>'Pasture 8'!E38</f>
        <v>329.97</v>
      </c>
      <c r="AD44" s="106">
        <f>'Pasture 9'!E44</f>
        <v>361.6</v>
      </c>
      <c r="AE44" s="106">
        <f>'Pasture 10'!E44</f>
        <v>240.42</v>
      </c>
      <c r="AF44" s="106"/>
      <c r="AG44" s="106">
        <f>'Pasture 11A'!E31</f>
        <v>79.180000000000007</v>
      </c>
      <c r="AH44" s="106">
        <f>'Pasture 11B'!E31</f>
        <v>172.4</v>
      </c>
      <c r="AI44" s="106"/>
      <c r="AJ44" s="106"/>
      <c r="AK44" s="106">
        <f>'Pasture 12A'!E28</f>
        <v>1166.55</v>
      </c>
      <c r="AL44" s="106">
        <f>'Pasture 12B'!E28</f>
        <v>2098.66</v>
      </c>
      <c r="AM44" s="106"/>
      <c r="AN44" s="106"/>
      <c r="AO44" s="106"/>
      <c r="AP44" s="106">
        <f>'Pasture 15'!E24</f>
        <v>1707.4</v>
      </c>
      <c r="AQ44" s="106">
        <f>'Pasture 140'!E12</f>
        <v>62.28</v>
      </c>
      <c r="AS44" s="105">
        <v>1950</v>
      </c>
      <c r="AT44" s="111">
        <f t="shared" si="0"/>
        <v>19521.409</v>
      </c>
      <c r="AU44" s="111">
        <v>21472.18</v>
      </c>
      <c r="AV44" s="111">
        <f t="shared" si="1"/>
        <v>90.914890802890056</v>
      </c>
    </row>
    <row r="45" spans="1:48" x14ac:dyDescent="0.3">
      <c r="A45" s="105">
        <v>1951</v>
      </c>
      <c r="B45" s="106">
        <f>'Pasture 1'!E46</f>
        <v>316.62</v>
      </c>
      <c r="C45" s="106">
        <f>'Pasture 2N'!E38</f>
        <v>3827.51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>
        <f>'Pasture 3'!E32</f>
        <v>1661.6</v>
      </c>
      <c r="R45" s="106">
        <f>'Pasture 4'!E38</f>
        <v>269.97000000000003</v>
      </c>
      <c r="S45" s="106">
        <f>'Pasture 5N'!E35</f>
        <v>4118.6000000000004</v>
      </c>
      <c r="T45" s="106"/>
      <c r="U45" s="106"/>
      <c r="V45" s="106"/>
      <c r="W45" s="106"/>
      <c r="X45" s="106">
        <f>'Pasture 6A'!E38</f>
        <v>1455.86</v>
      </c>
      <c r="Y45" s="106">
        <f>'Pasture 6B'!E38</f>
        <v>1479.89</v>
      </c>
      <c r="Z45" s="106">
        <f>'Pasture 6C'!E38</f>
        <v>172.899</v>
      </c>
      <c r="AA45" s="106"/>
      <c r="AB45" s="106"/>
      <c r="AC45" s="106">
        <f>'Pasture 8'!E39</f>
        <v>329.97</v>
      </c>
      <c r="AD45" s="106">
        <f>'Pasture 9'!E45</f>
        <v>361.6</v>
      </c>
      <c r="AE45" s="106">
        <f>'Pasture 10'!E45</f>
        <v>240.42</v>
      </c>
      <c r="AF45" s="106"/>
      <c r="AG45" s="106">
        <f>'Pasture 11A'!E32</f>
        <v>79.180000000000007</v>
      </c>
      <c r="AH45" s="106">
        <f>'Pasture 11B'!E32</f>
        <v>172.4</v>
      </c>
      <c r="AI45" s="106"/>
      <c r="AJ45" s="106"/>
      <c r="AK45" s="106">
        <f>'Pasture 12A'!E29</f>
        <v>1166.55</v>
      </c>
      <c r="AL45" s="106">
        <f>'Pasture 12B'!E29</f>
        <v>2098.66</v>
      </c>
      <c r="AM45" s="106"/>
      <c r="AN45" s="106"/>
      <c r="AO45" s="106"/>
      <c r="AP45" s="106">
        <f>'Pasture 15'!E25</f>
        <v>1707.4</v>
      </c>
      <c r="AQ45" s="106">
        <f>'Pasture 140'!E13</f>
        <v>62.28</v>
      </c>
      <c r="AS45" s="105">
        <v>1951</v>
      </c>
      <c r="AT45" s="111">
        <f t="shared" si="0"/>
        <v>19521.409</v>
      </c>
      <c r="AU45" s="111">
        <v>21472.18</v>
      </c>
      <c r="AV45" s="111">
        <f t="shared" si="1"/>
        <v>90.914890802890056</v>
      </c>
    </row>
    <row r="46" spans="1:48" x14ac:dyDescent="0.3">
      <c r="A46" s="105">
        <v>1952</v>
      </c>
      <c r="B46" s="106">
        <f>'Pasture 1'!E47</f>
        <v>316.62</v>
      </c>
      <c r="C46" s="106">
        <f>'Pasture 2N'!E39</f>
        <v>3827.51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>
        <f>'Pasture 3'!E33</f>
        <v>1661.6</v>
      </c>
      <c r="R46" s="106">
        <f>'Pasture 4'!E39</f>
        <v>269.97000000000003</v>
      </c>
      <c r="S46" s="106">
        <f>'Pasture 5N'!E36</f>
        <v>4118.6000000000004</v>
      </c>
      <c r="T46" s="106"/>
      <c r="U46" s="106"/>
      <c r="V46" s="106"/>
      <c r="W46" s="106"/>
      <c r="X46" s="106">
        <f>'Pasture 6A'!E39</f>
        <v>1455.86</v>
      </c>
      <c r="Y46" s="106">
        <f>'Pasture 6B'!E39</f>
        <v>1479.89</v>
      </c>
      <c r="Z46" s="106">
        <f>'Pasture 6C'!E39</f>
        <v>172.899</v>
      </c>
      <c r="AA46" s="106"/>
      <c r="AB46" s="106"/>
      <c r="AC46" s="106">
        <f>'Pasture 8'!E40</f>
        <v>329.97</v>
      </c>
      <c r="AD46" s="106">
        <f>'Pasture 9'!E46</f>
        <v>361.6</v>
      </c>
      <c r="AE46" s="106">
        <f>'Pasture 10'!E46</f>
        <v>240.42</v>
      </c>
      <c r="AF46" s="106"/>
      <c r="AG46" s="106">
        <f>'Pasture 11A'!E33</f>
        <v>79.180000000000007</v>
      </c>
      <c r="AH46" s="106">
        <f>'Pasture 11B'!E33</f>
        <v>172.4</v>
      </c>
      <c r="AI46" s="106"/>
      <c r="AJ46" s="106"/>
      <c r="AK46" s="106">
        <f>'Pasture 12A'!E30</f>
        <v>1166.55</v>
      </c>
      <c r="AL46" s="106">
        <f>'Pasture 12B'!E30</f>
        <v>2098.66</v>
      </c>
      <c r="AM46" s="106"/>
      <c r="AN46" s="106"/>
      <c r="AO46" s="106"/>
      <c r="AP46" s="106">
        <f>'Pasture 15'!E26</f>
        <v>1707.4</v>
      </c>
      <c r="AQ46" s="106">
        <f>'Pasture 140'!E14</f>
        <v>62.28</v>
      </c>
      <c r="AS46" s="105">
        <v>1952</v>
      </c>
      <c r="AT46" s="111">
        <f t="shared" si="0"/>
        <v>19521.409</v>
      </c>
      <c r="AU46" s="111">
        <v>21472.18</v>
      </c>
      <c r="AV46" s="111">
        <f t="shared" si="1"/>
        <v>90.914890802890056</v>
      </c>
    </row>
    <row r="47" spans="1:48" x14ac:dyDescent="0.3">
      <c r="A47" s="105">
        <v>1953</v>
      </c>
      <c r="B47" s="106">
        <f>'Pasture 1'!E48</f>
        <v>316.62</v>
      </c>
      <c r="C47" s="106">
        <f>'Pasture 2N'!E40</f>
        <v>3827.51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>
        <f>'Pasture 3'!E34</f>
        <v>1661.6</v>
      </c>
      <c r="R47" s="106">
        <f>'Pasture 4'!E40</f>
        <v>269.97000000000003</v>
      </c>
      <c r="S47" s="106">
        <f>'Pasture 5N'!E37</f>
        <v>4118.6000000000004</v>
      </c>
      <c r="T47" s="106"/>
      <c r="U47" s="106"/>
      <c r="V47" s="106"/>
      <c r="W47" s="106"/>
      <c r="X47" s="106">
        <f>'Pasture 6A'!E40</f>
        <v>1455.86</v>
      </c>
      <c r="Y47" s="106">
        <f>'Pasture 6B'!E40</f>
        <v>1479.89</v>
      </c>
      <c r="Z47" s="106">
        <f>'Pasture 6C'!E40</f>
        <v>172.899</v>
      </c>
      <c r="AA47" s="106"/>
      <c r="AB47" s="106"/>
      <c r="AC47" s="106">
        <f>'Pasture 8'!E41</f>
        <v>329.97</v>
      </c>
      <c r="AD47" s="106">
        <f>'Pasture 9'!E47</f>
        <v>361.6</v>
      </c>
      <c r="AE47" s="106">
        <f>'Pasture 10'!E47</f>
        <v>240.42</v>
      </c>
      <c r="AF47" s="106"/>
      <c r="AG47" s="106">
        <f>'Pasture 11A'!E34</f>
        <v>79.180000000000007</v>
      </c>
      <c r="AH47" s="106">
        <f>'Pasture 11B'!E34</f>
        <v>172.4</v>
      </c>
      <c r="AI47" s="106"/>
      <c r="AJ47" s="106"/>
      <c r="AK47" s="106">
        <f>'Pasture 12A'!E31</f>
        <v>1166.55</v>
      </c>
      <c r="AL47" s="106">
        <f>'Pasture 12B'!E31</f>
        <v>2098.66</v>
      </c>
      <c r="AM47" s="106"/>
      <c r="AN47" s="106"/>
      <c r="AO47" s="106"/>
      <c r="AP47" s="106">
        <f>'Pasture 15'!E27</f>
        <v>1707.4</v>
      </c>
      <c r="AQ47" s="106">
        <f>'Pasture 140'!E15</f>
        <v>62.28</v>
      </c>
      <c r="AS47" s="105">
        <v>1953</v>
      </c>
      <c r="AT47" s="111">
        <f t="shared" si="0"/>
        <v>19521.409</v>
      </c>
      <c r="AU47" s="111">
        <v>21472.18</v>
      </c>
      <c r="AV47" s="111">
        <f t="shared" si="1"/>
        <v>90.914890802890056</v>
      </c>
    </row>
    <row r="48" spans="1:48" x14ac:dyDescent="0.3">
      <c r="A48" s="105">
        <v>1954</v>
      </c>
      <c r="B48" s="106">
        <f>'Pasture 1'!E49</f>
        <v>316.62</v>
      </c>
      <c r="C48" s="106">
        <f>'Pasture 2N'!E41</f>
        <v>3827.51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>
        <f>'Pasture 3'!E35</f>
        <v>1661.6</v>
      </c>
      <c r="R48" s="106">
        <f>'Pasture 4'!E41</f>
        <v>269.97000000000003</v>
      </c>
      <c r="S48" s="106">
        <f>'Pasture 5N'!E38</f>
        <v>4118.6000000000004</v>
      </c>
      <c r="T48" s="106"/>
      <c r="U48" s="106"/>
      <c r="V48" s="106"/>
      <c r="W48" s="106"/>
      <c r="X48" s="106">
        <f>'Pasture 6A'!E41</f>
        <v>1455.86</v>
      </c>
      <c r="Y48" s="106">
        <f>'Pasture 6B'!E41</f>
        <v>1479.89</v>
      </c>
      <c r="Z48" s="106">
        <f>'Pasture 6C'!E41</f>
        <v>172.899</v>
      </c>
      <c r="AA48" s="106"/>
      <c r="AB48" s="106"/>
      <c r="AC48" s="106">
        <f>'Pasture 8'!E42</f>
        <v>329.97</v>
      </c>
      <c r="AD48" s="106">
        <f>'Pasture 9'!E48</f>
        <v>361.6</v>
      </c>
      <c r="AE48" s="106">
        <f>'Pasture 10'!E48</f>
        <v>240.42</v>
      </c>
      <c r="AF48" s="106"/>
      <c r="AG48" s="106">
        <f>'Pasture 11A'!E35</f>
        <v>79.180000000000007</v>
      </c>
      <c r="AH48" s="106">
        <f>'Pasture 11B'!E35</f>
        <v>172.4</v>
      </c>
      <c r="AI48" s="106"/>
      <c r="AJ48" s="106"/>
      <c r="AK48" s="106">
        <f>'Pasture 12A'!E32</f>
        <v>1166.55</v>
      </c>
      <c r="AL48" s="106">
        <f>'Pasture 12B'!E32</f>
        <v>2098.66</v>
      </c>
      <c r="AM48" s="106"/>
      <c r="AN48" s="106"/>
      <c r="AO48" s="106"/>
      <c r="AP48" s="106">
        <f>'Pasture 15'!E28</f>
        <v>1707.4</v>
      </c>
      <c r="AQ48" s="106">
        <f>'Pasture 140'!E16</f>
        <v>62.28</v>
      </c>
      <c r="AS48" s="105">
        <v>1954</v>
      </c>
      <c r="AT48" s="111">
        <f t="shared" si="0"/>
        <v>19521.409</v>
      </c>
      <c r="AU48" s="111">
        <v>21472.18</v>
      </c>
      <c r="AV48" s="111">
        <f t="shared" si="1"/>
        <v>90.914890802890056</v>
      </c>
    </row>
    <row r="49" spans="1:48" x14ac:dyDescent="0.3">
      <c r="A49" s="105">
        <v>1955</v>
      </c>
      <c r="B49" s="106">
        <f>'Pasture 1'!E50</f>
        <v>316.62</v>
      </c>
      <c r="C49" s="106">
        <f>'Pasture 2N'!E42</f>
        <v>3827.51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>
        <f>'Pasture 3'!E36</f>
        <v>1661.6</v>
      </c>
      <c r="R49" s="106">
        <f>'Pasture 4'!E42</f>
        <v>269.97000000000003</v>
      </c>
      <c r="S49" s="106">
        <f>'Pasture 5N'!E39</f>
        <v>4118.6000000000004</v>
      </c>
      <c r="T49" s="106"/>
      <c r="U49" s="106"/>
      <c r="V49" s="106"/>
      <c r="W49" s="106"/>
      <c r="X49" s="106">
        <f>'Pasture 6A'!E42</f>
        <v>1455.86</v>
      </c>
      <c r="Y49" s="106">
        <f>'Pasture 6B'!E42</f>
        <v>1479.89</v>
      </c>
      <c r="Z49" s="106">
        <f>'Pasture 6C'!E42</f>
        <v>172.899</v>
      </c>
      <c r="AA49" s="106"/>
      <c r="AB49" s="106"/>
      <c r="AC49" s="106">
        <f>'Pasture 8'!E43</f>
        <v>329.97</v>
      </c>
      <c r="AD49" s="106">
        <f>'Pasture 9'!E49</f>
        <v>361.6</v>
      </c>
      <c r="AE49" s="106">
        <f>'Pasture 10'!E49</f>
        <v>240.42</v>
      </c>
      <c r="AF49" s="106"/>
      <c r="AG49" s="106">
        <f>'Pasture 11A'!E36</f>
        <v>79.180000000000007</v>
      </c>
      <c r="AH49" s="106">
        <f>'Pasture 11B'!E36</f>
        <v>172.4</v>
      </c>
      <c r="AI49" s="106"/>
      <c r="AJ49" s="106"/>
      <c r="AK49" s="106">
        <f>'Pasture 12A'!E33</f>
        <v>1166.55</v>
      </c>
      <c r="AL49" s="106">
        <f>'Pasture 12B'!E33</f>
        <v>2098.66</v>
      </c>
      <c r="AM49" s="106"/>
      <c r="AN49" s="106"/>
      <c r="AO49" s="106"/>
      <c r="AP49" s="106">
        <f>'Pasture 15'!E29</f>
        <v>1707.4</v>
      </c>
      <c r="AQ49" s="106">
        <f>'Pasture 140'!E17</f>
        <v>62.28</v>
      </c>
      <c r="AS49" s="105">
        <v>1955</v>
      </c>
      <c r="AT49" s="111">
        <f t="shared" si="0"/>
        <v>19521.409</v>
      </c>
      <c r="AU49" s="111">
        <v>21472.18</v>
      </c>
      <c r="AV49" s="111">
        <f t="shared" si="1"/>
        <v>90.914890802890056</v>
      </c>
    </row>
    <row r="50" spans="1:48" x14ac:dyDescent="0.3">
      <c r="A50" s="105">
        <v>1956</v>
      </c>
      <c r="B50" s="106">
        <f>'Pasture 1'!E51</f>
        <v>316.62</v>
      </c>
      <c r="C50" s="106">
        <f>'Pasture 2N'!E43</f>
        <v>3827.51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>
        <f>'Pasture 3'!E37</f>
        <v>1661.6</v>
      </c>
      <c r="R50" s="106">
        <f>'Pasture 4'!E43</f>
        <v>269.97000000000003</v>
      </c>
      <c r="S50" s="106">
        <f>'Pasture 5N'!E40</f>
        <v>4118.6000000000004</v>
      </c>
      <c r="T50" s="106"/>
      <c r="U50" s="106"/>
      <c r="V50" s="106"/>
      <c r="W50" s="106"/>
      <c r="X50" s="106">
        <f>'Pasture 6A'!E43</f>
        <v>1455.86</v>
      </c>
      <c r="Y50" s="106">
        <f>'Pasture 6B'!E43</f>
        <v>1479.89</v>
      </c>
      <c r="Z50" s="106">
        <f>'Pasture 6C'!E43</f>
        <v>172.899</v>
      </c>
      <c r="AA50" s="106"/>
      <c r="AB50" s="106"/>
      <c r="AC50" s="106">
        <f>'Pasture 8'!E44</f>
        <v>329.97</v>
      </c>
      <c r="AD50" s="106">
        <f>'Pasture 9'!E50</f>
        <v>361.6</v>
      </c>
      <c r="AE50" s="106">
        <f>'Pasture 10'!E50</f>
        <v>240.42</v>
      </c>
      <c r="AF50" s="106"/>
      <c r="AG50" s="106">
        <f>'Pasture 11A'!E37</f>
        <v>79.180000000000007</v>
      </c>
      <c r="AH50" s="106">
        <f>'Pasture 11B'!E37</f>
        <v>172.4</v>
      </c>
      <c r="AI50" s="106"/>
      <c r="AJ50" s="106"/>
      <c r="AK50" s="106">
        <f>'Pasture 12A'!E34</f>
        <v>1166.55</v>
      </c>
      <c r="AL50" s="106">
        <f>'Pasture 12B'!E34</f>
        <v>2098.66</v>
      </c>
      <c r="AM50" s="106"/>
      <c r="AN50" s="106"/>
      <c r="AO50" s="106"/>
      <c r="AP50" s="106">
        <f>'Pasture 15'!E30</f>
        <v>1707.4</v>
      </c>
      <c r="AQ50" s="106">
        <f>'Pasture 140'!E18</f>
        <v>62.28</v>
      </c>
      <c r="AS50" s="105">
        <v>1956</v>
      </c>
      <c r="AT50" s="111">
        <f t="shared" si="0"/>
        <v>19521.409</v>
      </c>
      <c r="AU50" s="111">
        <v>21472.18</v>
      </c>
      <c r="AV50" s="111">
        <f t="shared" si="1"/>
        <v>90.914890802890056</v>
      </c>
    </row>
    <row r="51" spans="1:48" x14ac:dyDescent="0.3">
      <c r="A51" s="105">
        <v>1957</v>
      </c>
      <c r="B51" s="106">
        <f>'Pasture 1'!E52</f>
        <v>316.62</v>
      </c>
      <c r="C51" s="106">
        <f>'Pasture 2N'!E44</f>
        <v>3827.51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>
        <f>'Pasture 3'!E38</f>
        <v>1661.6</v>
      </c>
      <c r="R51" s="106">
        <f>'Pasture 4'!E44</f>
        <v>269.97000000000003</v>
      </c>
      <c r="S51" s="106"/>
      <c r="T51" s="106">
        <f>'Pasture 5N'!E41</f>
        <v>2216.1</v>
      </c>
      <c r="U51" s="106"/>
      <c r="V51" s="106">
        <f>'Pasture 5S'!E41</f>
        <v>1902.5</v>
      </c>
      <c r="W51" s="106"/>
      <c r="X51" s="106">
        <f>'Pasture 6A'!E44</f>
        <v>1455.86</v>
      </c>
      <c r="Y51" s="106">
        <f>'Pasture 6B'!E44</f>
        <v>1479.89</v>
      </c>
      <c r="Z51" s="106">
        <f>'Pasture 6C'!E44</f>
        <v>172.899</v>
      </c>
      <c r="AA51" s="106"/>
      <c r="AB51" s="106"/>
      <c r="AC51" s="106">
        <f>'Pasture 8'!E45</f>
        <v>329.97</v>
      </c>
      <c r="AD51" s="106">
        <f>'Pasture 9'!E51</f>
        <v>361.6</v>
      </c>
      <c r="AE51" s="106">
        <f>'Pasture 10'!E51</f>
        <v>240.42</v>
      </c>
      <c r="AF51" s="106"/>
      <c r="AG51" s="106">
        <f>'Pasture 11A'!E38</f>
        <v>79.180000000000007</v>
      </c>
      <c r="AH51" s="106">
        <f>'Pasture 11B'!E38</f>
        <v>172.4</v>
      </c>
      <c r="AI51" s="106"/>
      <c r="AJ51" s="106"/>
      <c r="AK51" s="106">
        <f>'Pasture 12A'!E35</f>
        <v>1166.55</v>
      </c>
      <c r="AL51" s="106">
        <f>'Pasture 12B'!E35</f>
        <v>2098.66</v>
      </c>
      <c r="AM51" s="106"/>
      <c r="AN51" s="106"/>
      <c r="AO51" s="106"/>
      <c r="AP51" s="106">
        <f>'Pasture 15'!E31</f>
        <v>1707.4</v>
      </c>
      <c r="AQ51" s="106">
        <f>'Pasture 140'!E19</f>
        <v>62.28</v>
      </c>
      <c r="AS51" s="105">
        <v>1957</v>
      </c>
      <c r="AT51" s="111">
        <f t="shared" si="0"/>
        <v>19521.409</v>
      </c>
      <c r="AU51" s="111">
        <v>21472.18</v>
      </c>
      <c r="AV51" s="111">
        <f t="shared" si="1"/>
        <v>90.914890802890056</v>
      </c>
    </row>
    <row r="52" spans="1:48" x14ac:dyDescent="0.3">
      <c r="A52" s="105">
        <v>1958</v>
      </c>
      <c r="B52" s="106">
        <f>'Pasture 1'!E53</f>
        <v>316.62</v>
      </c>
      <c r="C52" s="106"/>
      <c r="D52" s="106">
        <f>'Pasture 2N'!E45</f>
        <v>1856.07</v>
      </c>
      <c r="E52" s="106">
        <f>'Pasture 2SW'!E45</f>
        <v>1971.44</v>
      </c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>
        <f>'Pasture 3'!E39</f>
        <v>1661.6</v>
      </c>
      <c r="R52" s="106">
        <f>'Pasture 4'!E45</f>
        <v>269.97000000000003</v>
      </c>
      <c r="S52" s="106"/>
      <c r="T52" s="106">
        <f>'Pasture 5N'!E42</f>
        <v>2216.1</v>
      </c>
      <c r="U52" s="106"/>
      <c r="V52" s="106">
        <f>'Pasture 5S'!E42</f>
        <v>1902.5</v>
      </c>
      <c r="W52" s="106"/>
      <c r="X52" s="106">
        <f>'Pasture 6A'!E45</f>
        <v>1455.86</v>
      </c>
      <c r="Y52" s="106">
        <f>'Pasture 6B'!E45</f>
        <v>1479.89</v>
      </c>
      <c r="Z52" s="106">
        <f>'Pasture 6C'!E45</f>
        <v>172.899</v>
      </c>
      <c r="AA52" s="106"/>
      <c r="AB52" s="106"/>
      <c r="AC52" s="106">
        <f>'Pasture 8'!E46</f>
        <v>329.97</v>
      </c>
      <c r="AD52" s="106">
        <f>'Pasture 9'!E52</f>
        <v>361.6</v>
      </c>
      <c r="AE52" s="106">
        <f>'Pasture 10'!E52</f>
        <v>240.42</v>
      </c>
      <c r="AF52" s="106"/>
      <c r="AG52" s="106">
        <f>'Pasture 11A'!E39</f>
        <v>79.180000000000007</v>
      </c>
      <c r="AH52" s="106">
        <f>'Pasture 11B'!E39</f>
        <v>172.4</v>
      </c>
      <c r="AI52" s="106"/>
      <c r="AJ52" s="106"/>
      <c r="AK52" s="106">
        <f>'Pasture 12A'!E36</f>
        <v>1166.55</v>
      </c>
      <c r="AL52" s="106">
        <f>'Pasture 12B'!E36</f>
        <v>2098.66</v>
      </c>
      <c r="AM52" s="106"/>
      <c r="AN52" s="106"/>
      <c r="AO52" s="106"/>
      <c r="AP52" s="106">
        <f>'Pasture 15'!E32</f>
        <v>1707.4</v>
      </c>
      <c r="AQ52" s="106">
        <f>'Pasture 140'!E20</f>
        <v>62.28</v>
      </c>
      <c r="AS52" s="105">
        <v>1958</v>
      </c>
      <c r="AT52" s="111">
        <f t="shared" si="0"/>
        <v>19521.409</v>
      </c>
      <c r="AU52" s="111">
        <v>21472.18</v>
      </c>
      <c r="AV52" s="111">
        <f t="shared" si="1"/>
        <v>90.914890802890056</v>
      </c>
    </row>
    <row r="53" spans="1:48" x14ac:dyDescent="0.3">
      <c r="A53" s="105">
        <v>1959</v>
      </c>
      <c r="B53" s="106">
        <f>'Pasture 1'!E54</f>
        <v>316.62</v>
      </c>
      <c r="C53" s="106"/>
      <c r="D53" s="106">
        <f>'Pasture 2N'!E46</f>
        <v>1856.07</v>
      </c>
      <c r="E53" s="106">
        <f>'Pasture 2SW'!E46</f>
        <v>1971.44</v>
      </c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>
        <f>'Pasture 3'!E40</f>
        <v>1661.6</v>
      </c>
      <c r="R53" s="106">
        <f>'Pasture 4'!E46</f>
        <v>269.97000000000003</v>
      </c>
      <c r="S53" s="106"/>
      <c r="T53" s="106">
        <f>'Pasture 5N'!E43</f>
        <v>2216.1</v>
      </c>
      <c r="U53" s="106"/>
      <c r="V53" s="106">
        <f>'Pasture 5S'!E43</f>
        <v>1902.5</v>
      </c>
      <c r="W53" s="106"/>
      <c r="X53" s="106">
        <f>'Pasture 6A'!E46</f>
        <v>1455.86</v>
      </c>
      <c r="Y53" s="106">
        <f>'Pasture 6B'!E46</f>
        <v>1479.89</v>
      </c>
      <c r="Z53" s="106">
        <f>'Pasture 6C'!E46</f>
        <v>172.899</v>
      </c>
      <c r="AA53" s="106"/>
      <c r="AB53" s="106"/>
      <c r="AC53" s="106">
        <f>'Pasture 8'!E47</f>
        <v>329.97</v>
      </c>
      <c r="AD53" s="106">
        <f>'Pasture 9'!E53</f>
        <v>361.6</v>
      </c>
      <c r="AE53" s="106">
        <f>'Pasture 10'!E53</f>
        <v>240.42</v>
      </c>
      <c r="AF53" s="106"/>
      <c r="AG53" s="106">
        <f>'Pasture 11A'!E40</f>
        <v>79.180000000000007</v>
      </c>
      <c r="AH53" s="106">
        <f>'Pasture 11B'!E40</f>
        <v>172.4</v>
      </c>
      <c r="AI53" s="106"/>
      <c r="AJ53" s="106"/>
      <c r="AK53" s="106">
        <f>'Pasture 12A'!E37</f>
        <v>1166.55</v>
      </c>
      <c r="AL53" s="106">
        <f>'Pasture 12B'!E37</f>
        <v>2098.66</v>
      </c>
      <c r="AM53" s="106"/>
      <c r="AN53" s="106"/>
      <c r="AO53" s="106"/>
      <c r="AP53" s="106">
        <f>'Pasture 15'!E33</f>
        <v>1707.4</v>
      </c>
      <c r="AQ53" s="106">
        <f>'Pasture 140'!E21</f>
        <v>62.28</v>
      </c>
      <c r="AS53" s="105">
        <v>1959</v>
      </c>
      <c r="AT53" s="111">
        <f t="shared" si="0"/>
        <v>19521.409</v>
      </c>
      <c r="AU53" s="111">
        <v>21472.18</v>
      </c>
      <c r="AV53" s="111">
        <f t="shared" si="1"/>
        <v>90.914890802890056</v>
      </c>
    </row>
    <row r="54" spans="1:48" x14ac:dyDescent="0.3">
      <c r="A54" s="105">
        <v>1960</v>
      </c>
      <c r="B54" s="106">
        <f>'Pasture 1'!E55</f>
        <v>316.62</v>
      </c>
      <c r="C54" s="106"/>
      <c r="D54" s="106">
        <f>'Pasture 2N'!E47</f>
        <v>1856.07</v>
      </c>
      <c r="E54" s="106">
        <f>'Pasture 2SW'!E47</f>
        <v>1971.44</v>
      </c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>
        <f>'Pasture 3'!E41</f>
        <v>1661.6</v>
      </c>
      <c r="R54" s="106">
        <f>'Pasture 4'!E47</f>
        <v>269.97000000000003</v>
      </c>
      <c r="S54" s="106"/>
      <c r="T54" s="106">
        <f>'Pasture 5N'!E44</f>
        <v>2216.1</v>
      </c>
      <c r="U54" s="106"/>
      <c r="V54" s="106">
        <f>'Pasture 5S'!E44</f>
        <v>1902.5</v>
      </c>
      <c r="W54" s="106"/>
      <c r="X54" s="106">
        <f>'Pasture 6A'!E47</f>
        <v>1455.86</v>
      </c>
      <c r="Y54" s="106">
        <f>'Pasture 6B'!E47</f>
        <v>1479.89</v>
      </c>
      <c r="Z54" s="106">
        <f>'Pasture 6C'!E47</f>
        <v>172.899</v>
      </c>
      <c r="AA54" s="106"/>
      <c r="AB54" s="106"/>
      <c r="AC54" s="106">
        <f>'Pasture 8'!E48</f>
        <v>329.97</v>
      </c>
      <c r="AD54" s="106">
        <f>'Pasture 9'!E54</f>
        <v>361.6</v>
      </c>
      <c r="AE54" s="106">
        <f>'Pasture 10'!E54</f>
        <v>240.42</v>
      </c>
      <c r="AF54" s="106"/>
      <c r="AG54" s="106">
        <f>'Pasture 11A'!E41</f>
        <v>79.180000000000007</v>
      </c>
      <c r="AH54" s="106">
        <f>'Pasture 11B'!E41</f>
        <v>172.4</v>
      </c>
      <c r="AI54" s="106"/>
      <c r="AJ54" s="106"/>
      <c r="AK54" s="106">
        <f>'Pasture 12A'!E38</f>
        <v>1166.55</v>
      </c>
      <c r="AL54" s="106">
        <f>'Pasture 12B'!E38</f>
        <v>2098.66</v>
      </c>
      <c r="AM54" s="106"/>
      <c r="AN54" s="106"/>
      <c r="AO54" s="106"/>
      <c r="AP54" s="106">
        <f>'Pasture 15'!E34</f>
        <v>1707.4</v>
      </c>
      <c r="AQ54" s="106">
        <f>'Pasture 140'!E22</f>
        <v>62.28</v>
      </c>
      <c r="AS54" s="105">
        <v>1960</v>
      </c>
      <c r="AT54" s="111">
        <f t="shared" si="0"/>
        <v>19521.409</v>
      </c>
      <c r="AU54" s="111">
        <v>21472.18</v>
      </c>
      <c r="AV54" s="111">
        <f t="shared" si="1"/>
        <v>90.914890802890056</v>
      </c>
    </row>
    <row r="55" spans="1:48" x14ac:dyDescent="0.3">
      <c r="A55" s="105">
        <v>1961</v>
      </c>
      <c r="B55" s="106">
        <f>'Pasture 1'!E56</f>
        <v>316.62</v>
      </c>
      <c r="C55" s="106"/>
      <c r="D55" s="106">
        <f>'Pasture 2N'!E48</f>
        <v>1856.07</v>
      </c>
      <c r="E55" s="106">
        <f>'Pasture 2SW'!E48</f>
        <v>1971.44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>
        <f>'Pasture 3'!E42</f>
        <v>1661.6</v>
      </c>
      <c r="R55" s="106">
        <f>'Pasture 4'!E48</f>
        <v>269.97000000000003</v>
      </c>
      <c r="S55" s="106"/>
      <c r="T55" s="106">
        <f>'Pasture 5N'!E45</f>
        <v>2216.1</v>
      </c>
      <c r="U55" s="106"/>
      <c r="V55" s="106">
        <f>'Pasture 5S'!E45</f>
        <v>1902.5</v>
      </c>
      <c r="W55" s="106"/>
      <c r="X55" s="106">
        <f>'Pasture 6A'!E48</f>
        <v>1455.86</v>
      </c>
      <c r="Y55" s="106">
        <f>'Pasture 6B'!E48</f>
        <v>1479.89</v>
      </c>
      <c r="Z55" s="106">
        <f>'Pasture 6C'!E48</f>
        <v>172.899</v>
      </c>
      <c r="AA55" s="106"/>
      <c r="AB55" s="106"/>
      <c r="AC55" s="106">
        <f>'Pasture 8'!E49</f>
        <v>329.97</v>
      </c>
      <c r="AD55" s="106">
        <f>'Pasture 9'!E55</f>
        <v>361.6</v>
      </c>
      <c r="AE55" s="106">
        <f>'Pasture 10'!E55</f>
        <v>240.42</v>
      </c>
      <c r="AF55" s="106"/>
      <c r="AG55" s="106">
        <f>'Pasture 11A'!E42</f>
        <v>79.180000000000007</v>
      </c>
      <c r="AH55" s="106">
        <f>'Pasture 11B'!E42</f>
        <v>172.4</v>
      </c>
      <c r="AI55" s="106"/>
      <c r="AJ55" s="106"/>
      <c r="AK55" s="106">
        <f>'Pasture 12A'!E39</f>
        <v>1166.55</v>
      </c>
      <c r="AL55" s="106">
        <f>'Pasture 12B'!E39</f>
        <v>2098.66</v>
      </c>
      <c r="AM55" s="106"/>
      <c r="AN55" s="106"/>
      <c r="AO55" s="106"/>
      <c r="AP55" s="106">
        <f>'Pasture 15'!E35</f>
        <v>1707.4</v>
      </c>
      <c r="AQ55" s="106">
        <f>'Pasture 140'!E23</f>
        <v>62.28</v>
      </c>
      <c r="AS55" s="105">
        <v>1961</v>
      </c>
      <c r="AT55" s="111">
        <f t="shared" si="0"/>
        <v>19521.409</v>
      </c>
      <c r="AU55" s="111">
        <v>21472.18</v>
      </c>
      <c r="AV55" s="111">
        <f t="shared" si="1"/>
        <v>90.914890802890056</v>
      </c>
    </row>
    <row r="56" spans="1:48" x14ac:dyDescent="0.3">
      <c r="A56" s="105">
        <v>1962</v>
      </c>
      <c r="B56" s="106">
        <f>'Pasture 1'!E57</f>
        <v>316.62</v>
      </c>
      <c r="C56" s="106"/>
      <c r="D56" s="106">
        <f>'Pasture 2N'!E49</f>
        <v>1856.07</v>
      </c>
      <c r="E56" s="106">
        <f>'Pasture 2SW'!E49</f>
        <v>1971.44</v>
      </c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>
        <f>'Pasture 3'!E43</f>
        <v>1661.6</v>
      </c>
      <c r="R56" s="106">
        <f>'Pasture 4'!E49</f>
        <v>269.97000000000003</v>
      </c>
      <c r="S56" s="106"/>
      <c r="T56" s="106">
        <f>'Pasture 5N'!E46</f>
        <v>2216.1</v>
      </c>
      <c r="U56" s="106"/>
      <c r="V56" s="106">
        <f>'Pasture 5S'!E46</f>
        <v>1902.5</v>
      </c>
      <c r="W56" s="106"/>
      <c r="X56" s="106">
        <f>'Pasture 6A'!E49</f>
        <v>1455.86</v>
      </c>
      <c r="Y56" s="106">
        <f>'Pasture 6B'!E49</f>
        <v>1479.89</v>
      </c>
      <c r="Z56" s="106">
        <f>'Pasture 6C'!E49</f>
        <v>172.899</v>
      </c>
      <c r="AA56" s="106"/>
      <c r="AB56" s="106"/>
      <c r="AC56" s="106">
        <f>'Pasture 8'!E50</f>
        <v>329.97</v>
      </c>
      <c r="AD56" s="106">
        <f>'Pasture 9'!E56</f>
        <v>361.6</v>
      </c>
      <c r="AE56" s="106">
        <f>'Pasture 10'!E56</f>
        <v>240.42</v>
      </c>
      <c r="AF56" s="106"/>
      <c r="AG56" s="106">
        <f>'Pasture 11A'!E43</f>
        <v>79.180000000000007</v>
      </c>
      <c r="AH56" s="106">
        <f>'Pasture 11B'!E43</f>
        <v>172.4</v>
      </c>
      <c r="AI56" s="106"/>
      <c r="AJ56" s="106"/>
      <c r="AK56" s="106">
        <f>'Pasture 12A'!E40</f>
        <v>1166.55</v>
      </c>
      <c r="AL56" s="106">
        <f>'Pasture 12B'!E40</f>
        <v>2098.66</v>
      </c>
      <c r="AM56" s="106"/>
      <c r="AN56" s="106"/>
      <c r="AO56" s="106"/>
      <c r="AP56" s="106">
        <f>'Pasture 15'!E36</f>
        <v>1707.4</v>
      </c>
      <c r="AQ56" s="106">
        <f>'Pasture 140'!E24</f>
        <v>62.28</v>
      </c>
      <c r="AS56" s="105">
        <v>1962</v>
      </c>
      <c r="AT56" s="111">
        <f t="shared" si="0"/>
        <v>19521.409</v>
      </c>
      <c r="AU56" s="111">
        <v>21472.18</v>
      </c>
      <c r="AV56" s="111">
        <f t="shared" si="1"/>
        <v>90.914890802890056</v>
      </c>
    </row>
    <row r="57" spans="1:48" x14ac:dyDescent="0.3">
      <c r="A57" s="105">
        <v>1963</v>
      </c>
      <c r="B57" s="106">
        <f>'Pasture 1'!E58</f>
        <v>316.62</v>
      </c>
      <c r="C57" s="106"/>
      <c r="D57" s="106">
        <f>'Pasture 2N'!E50</f>
        <v>1856.07</v>
      </c>
      <c r="E57" s="106">
        <f>'Pasture 2SW'!E50</f>
        <v>1971.44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>
        <f>'Pasture 3'!E44</f>
        <v>1661.6</v>
      </c>
      <c r="R57" s="106">
        <f>'Pasture 4'!E50</f>
        <v>269.97000000000003</v>
      </c>
      <c r="S57" s="106"/>
      <c r="T57" s="106">
        <f>'Pasture 5N'!E47</f>
        <v>2216.1</v>
      </c>
      <c r="U57" s="106"/>
      <c r="V57" s="106">
        <f>'Pasture 5S'!E47</f>
        <v>1902.5</v>
      </c>
      <c r="W57" s="106"/>
      <c r="X57" s="106">
        <f>'Pasture 6A'!E50</f>
        <v>1455.86</v>
      </c>
      <c r="Y57" s="106">
        <f>'Pasture 6B'!E50</f>
        <v>1479.89</v>
      </c>
      <c r="Z57" s="106">
        <f>'Pasture 6C'!E50</f>
        <v>172.899</v>
      </c>
      <c r="AA57" s="106"/>
      <c r="AB57" s="106"/>
      <c r="AC57" s="106">
        <f>'Pasture 8'!E51</f>
        <v>329.97</v>
      </c>
      <c r="AD57" s="106">
        <f>'Pasture 9'!E57</f>
        <v>361.6</v>
      </c>
      <c r="AE57" s="106">
        <f>'Pasture 10'!E57</f>
        <v>240.42</v>
      </c>
      <c r="AF57" s="106"/>
      <c r="AG57" s="106">
        <f>'Pasture 11A'!E44</f>
        <v>79.180000000000007</v>
      </c>
      <c r="AH57" s="106">
        <f>'Pasture 11B'!E44</f>
        <v>172.4</v>
      </c>
      <c r="AI57" s="106"/>
      <c r="AJ57" s="106"/>
      <c r="AK57" s="106">
        <f>'Pasture 12A'!E41</f>
        <v>1166.55</v>
      </c>
      <c r="AL57" s="106">
        <f>'Pasture 12B'!E41</f>
        <v>2098.66</v>
      </c>
      <c r="AM57" s="106"/>
      <c r="AN57" s="106"/>
      <c r="AO57" s="106"/>
      <c r="AP57" s="106">
        <f>'Pasture 15'!E37</f>
        <v>1707.4</v>
      </c>
      <c r="AQ57" s="106">
        <f>'Pasture 140'!E25</f>
        <v>62.28</v>
      </c>
      <c r="AS57" s="105">
        <v>1963</v>
      </c>
      <c r="AT57" s="111">
        <f t="shared" si="0"/>
        <v>19521.409</v>
      </c>
      <c r="AU57" s="111">
        <v>21472.18</v>
      </c>
      <c r="AV57" s="111">
        <f t="shared" si="1"/>
        <v>90.914890802890056</v>
      </c>
    </row>
    <row r="58" spans="1:48" x14ac:dyDescent="0.3">
      <c r="A58" s="105">
        <v>1964</v>
      </c>
      <c r="B58" s="106">
        <f>'Pasture 1'!E59</f>
        <v>316.62</v>
      </c>
      <c r="C58" s="106"/>
      <c r="D58" s="106">
        <f>'Pasture 2N'!E51</f>
        <v>1856.07</v>
      </c>
      <c r="E58" s="106">
        <f>'Pasture 2SW'!E51</f>
        <v>1971.44</v>
      </c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>
        <f>'Pasture 3'!E45</f>
        <v>1661.6</v>
      </c>
      <c r="R58" s="106">
        <f>'Pasture 4'!E51</f>
        <v>269.97000000000003</v>
      </c>
      <c r="S58" s="106"/>
      <c r="T58" s="106">
        <f>'Pasture 5N'!E48</f>
        <v>2216.1</v>
      </c>
      <c r="U58" s="106"/>
      <c r="V58" s="106">
        <f>'Pasture 5S'!E48</f>
        <v>1902.5</v>
      </c>
      <c r="W58" s="106"/>
      <c r="X58" s="106">
        <f>'Pasture 6A'!E51</f>
        <v>1455.86</v>
      </c>
      <c r="Y58" s="106">
        <f>'Pasture 6B'!E51</f>
        <v>1479.89</v>
      </c>
      <c r="Z58" s="106">
        <f>'Pasture 6C'!E51</f>
        <v>172.899</v>
      </c>
      <c r="AA58" s="106"/>
      <c r="AB58" s="106"/>
      <c r="AC58" s="106">
        <f>'Pasture 8'!E52</f>
        <v>329.97</v>
      </c>
      <c r="AD58" s="106">
        <f>'Pasture 9'!E58</f>
        <v>361.6</v>
      </c>
      <c r="AE58" s="106">
        <f>'Pasture 10'!E58</f>
        <v>240.42</v>
      </c>
      <c r="AF58" s="106"/>
      <c r="AG58" s="106">
        <f>'Pasture 11A'!E45</f>
        <v>79.180000000000007</v>
      </c>
      <c r="AH58" s="106">
        <f>'Pasture 11B'!E45</f>
        <v>172.4</v>
      </c>
      <c r="AI58" s="106"/>
      <c r="AJ58" s="106"/>
      <c r="AK58" s="106">
        <f>'Pasture 12A'!E42</f>
        <v>1166.55</v>
      </c>
      <c r="AL58" s="106">
        <f>'Pasture 12B'!E42</f>
        <v>2098.66</v>
      </c>
      <c r="AM58" s="106"/>
      <c r="AN58" s="106"/>
      <c r="AO58" s="106"/>
      <c r="AP58" s="106">
        <f>'Pasture 15'!E38</f>
        <v>1707.4</v>
      </c>
      <c r="AQ58" s="106">
        <f>'Pasture 140'!E26</f>
        <v>62.28</v>
      </c>
      <c r="AS58" s="105">
        <v>1964</v>
      </c>
      <c r="AT58" s="111">
        <f t="shared" si="0"/>
        <v>19521.409</v>
      </c>
      <c r="AU58" s="111">
        <v>21472.18</v>
      </c>
      <c r="AV58" s="111">
        <f t="shared" si="1"/>
        <v>90.914890802890056</v>
      </c>
    </row>
    <row r="59" spans="1:48" x14ac:dyDescent="0.3">
      <c r="A59" s="105">
        <v>1965</v>
      </c>
      <c r="B59" s="106">
        <f>'Pasture 1'!E60</f>
        <v>316.62</v>
      </c>
      <c r="C59" s="106"/>
      <c r="D59" s="106">
        <f>'Pasture 2N'!E52</f>
        <v>1856.07</v>
      </c>
      <c r="E59" s="106">
        <f>'Pasture 2SW'!E52</f>
        <v>1971.44</v>
      </c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>
        <f>'Pasture 3'!E46</f>
        <v>1661.6</v>
      </c>
      <c r="R59" s="106">
        <f>'Pasture 4'!E52</f>
        <v>269.97000000000003</v>
      </c>
      <c r="S59" s="106"/>
      <c r="T59" s="106">
        <f>'Pasture 5N'!E49</f>
        <v>2216.1</v>
      </c>
      <c r="U59" s="106"/>
      <c r="V59" s="106">
        <f>'Pasture 5S'!E49</f>
        <v>1902.5</v>
      </c>
      <c r="W59" s="106"/>
      <c r="X59" s="106">
        <f>'Pasture 6A'!E52</f>
        <v>1455.86</v>
      </c>
      <c r="Y59" s="106">
        <f>'Pasture 6B'!E52</f>
        <v>1479.89</v>
      </c>
      <c r="Z59" s="106">
        <f>'Pasture 6C'!E52</f>
        <v>172.899</v>
      </c>
      <c r="AA59" s="106"/>
      <c r="AB59" s="106"/>
      <c r="AC59" s="106">
        <f>'Pasture 8'!E53</f>
        <v>329.97</v>
      </c>
      <c r="AD59" s="106">
        <f>'Pasture 9'!E59</f>
        <v>361.6</v>
      </c>
      <c r="AE59" s="106">
        <f>'Pasture 10'!E59</f>
        <v>240.42</v>
      </c>
      <c r="AF59" s="106"/>
      <c r="AG59" s="106">
        <f>'Pasture 11A'!E46</f>
        <v>79.180000000000007</v>
      </c>
      <c r="AH59" s="106">
        <f>'Pasture 11B'!E46</f>
        <v>172.4</v>
      </c>
      <c r="AI59" s="106"/>
      <c r="AJ59" s="106"/>
      <c r="AK59" s="106">
        <f>'Pasture 12A'!E43</f>
        <v>1166.55</v>
      </c>
      <c r="AL59" s="106">
        <f>'Pasture 12B'!E43</f>
        <v>2098.66</v>
      </c>
      <c r="AM59" s="106"/>
      <c r="AN59" s="106"/>
      <c r="AO59" s="106"/>
      <c r="AP59" s="106">
        <f>'Pasture 15'!E39</f>
        <v>1707.4</v>
      </c>
      <c r="AQ59" s="106">
        <f>'Pasture 140'!E27</f>
        <v>62.28</v>
      </c>
      <c r="AS59" s="105">
        <v>1965</v>
      </c>
      <c r="AT59" s="111">
        <f t="shared" si="0"/>
        <v>19521.409</v>
      </c>
      <c r="AU59" s="111">
        <v>21472.18</v>
      </c>
      <c r="AV59" s="111">
        <f t="shared" si="1"/>
        <v>90.914890802890056</v>
      </c>
    </row>
    <row r="60" spans="1:48" x14ac:dyDescent="0.3">
      <c r="A60" s="105">
        <v>1966</v>
      </c>
      <c r="B60" s="106">
        <f>'Pasture 1'!E61</f>
        <v>316.62</v>
      </c>
      <c r="C60" s="106"/>
      <c r="D60" s="106">
        <f>'Pasture 2N'!E53</f>
        <v>1856.07</v>
      </c>
      <c r="E60" s="106">
        <f>'Pasture 2SW'!E53</f>
        <v>1971.44</v>
      </c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>
        <f>'Pasture 3'!E47</f>
        <v>1661.6</v>
      </c>
      <c r="R60" s="106">
        <f>'Pasture 4'!E53</f>
        <v>269.97000000000003</v>
      </c>
      <c r="S60" s="106"/>
      <c r="T60" s="106">
        <f>'Pasture 5N'!E50</f>
        <v>2216.1</v>
      </c>
      <c r="U60" s="106"/>
      <c r="V60" s="106">
        <f>'Pasture 5S'!E50</f>
        <v>1902.5</v>
      </c>
      <c r="W60" s="106"/>
      <c r="X60" s="106">
        <f>'Pasture 6A'!E53</f>
        <v>1455.86</v>
      </c>
      <c r="Y60" s="106">
        <f>'Pasture 6B'!E53</f>
        <v>1479.89</v>
      </c>
      <c r="Z60" s="106">
        <f>'Pasture 6C'!E53</f>
        <v>172.899</v>
      </c>
      <c r="AA60" s="106"/>
      <c r="AB60" s="106"/>
      <c r="AC60" s="106">
        <f>'Pasture 8'!E54</f>
        <v>329.97</v>
      </c>
      <c r="AD60" s="106">
        <f>'Pasture 9'!E60</f>
        <v>361.6</v>
      </c>
      <c r="AE60" s="106">
        <f>'Pasture 10'!E60</f>
        <v>240.42</v>
      </c>
      <c r="AF60" s="106"/>
      <c r="AG60" s="106">
        <f>'Pasture 11A'!E47</f>
        <v>79.180000000000007</v>
      </c>
      <c r="AH60" s="106">
        <f>'Pasture 11B'!E47</f>
        <v>172.4</v>
      </c>
      <c r="AI60" s="106"/>
      <c r="AJ60" s="106"/>
      <c r="AK60" s="106">
        <f>'Pasture 12A'!E44</f>
        <v>1166.55</v>
      </c>
      <c r="AL60" s="106">
        <f>'Pasture 12B'!E44</f>
        <v>2098.66</v>
      </c>
      <c r="AM60" s="106"/>
      <c r="AN60" s="106"/>
      <c r="AO60" s="106"/>
      <c r="AP60" s="106">
        <f>'Pasture 15'!E40</f>
        <v>1707.4</v>
      </c>
      <c r="AQ60" s="106">
        <f>'Pasture 140'!E28</f>
        <v>62.28</v>
      </c>
      <c r="AS60" s="105">
        <v>1966</v>
      </c>
      <c r="AT60" s="111">
        <f t="shared" si="0"/>
        <v>19521.409</v>
      </c>
      <c r="AU60" s="111">
        <v>21472.18</v>
      </c>
      <c r="AV60" s="111">
        <f t="shared" si="1"/>
        <v>90.914890802890056</v>
      </c>
    </row>
    <row r="61" spans="1:48" x14ac:dyDescent="0.3">
      <c r="A61" s="105">
        <v>1967</v>
      </c>
      <c r="B61" s="106">
        <f>'Pasture 1'!E62</f>
        <v>316.62</v>
      </c>
      <c r="C61" s="106"/>
      <c r="D61" s="106">
        <f>'Pasture 2N'!E54</f>
        <v>1856.07</v>
      </c>
      <c r="E61" s="106">
        <f>'Pasture 2SW'!E54</f>
        <v>1971.44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>
        <f>'Pasture 3'!E48</f>
        <v>1661.6</v>
      </c>
      <c r="R61" s="106">
        <f>'Pasture 4'!E54</f>
        <v>269.97000000000003</v>
      </c>
      <c r="S61" s="106"/>
      <c r="T61" s="106">
        <f>'Pasture 5N'!E51</f>
        <v>2216.1</v>
      </c>
      <c r="U61" s="106"/>
      <c r="V61" s="106">
        <f>'Pasture 5S'!E51</f>
        <v>1902.5</v>
      </c>
      <c r="W61" s="106"/>
      <c r="X61" s="106">
        <f>'Pasture 6A'!E54</f>
        <v>1455.86</v>
      </c>
      <c r="Y61" s="106">
        <f>'Pasture 6B'!E54</f>
        <v>1479.89</v>
      </c>
      <c r="Z61" s="106">
        <f>'Pasture 6C'!E54</f>
        <v>172.899</v>
      </c>
      <c r="AA61" s="106"/>
      <c r="AB61" s="106"/>
      <c r="AC61" s="106">
        <f>'Pasture 8'!E55</f>
        <v>329.97</v>
      </c>
      <c r="AD61" s="106">
        <f>'Pasture 9'!E61</f>
        <v>361.6</v>
      </c>
      <c r="AE61" s="106">
        <f>'Pasture 10'!E61</f>
        <v>240.42</v>
      </c>
      <c r="AF61" s="106"/>
      <c r="AG61" s="106">
        <f>'Pasture 11A'!E48</f>
        <v>79.180000000000007</v>
      </c>
      <c r="AH61" s="106">
        <f>'Pasture 11B'!E48</f>
        <v>172.4</v>
      </c>
      <c r="AI61" s="106"/>
      <c r="AJ61" s="106"/>
      <c r="AK61" s="106">
        <f>'Pasture 12A'!E45</f>
        <v>1166.55</v>
      </c>
      <c r="AL61" s="106">
        <f>'Pasture 12B'!E45</f>
        <v>2098.66</v>
      </c>
      <c r="AM61" s="106"/>
      <c r="AN61" s="106"/>
      <c r="AO61" s="106"/>
      <c r="AP61" s="106">
        <f>'Pasture 15'!E41</f>
        <v>1707.4</v>
      </c>
      <c r="AQ61" s="106">
        <f>'Pasture 140'!E29</f>
        <v>62.28</v>
      </c>
      <c r="AS61" s="105">
        <v>1967</v>
      </c>
      <c r="AT61" s="111">
        <f t="shared" si="0"/>
        <v>19521.409</v>
      </c>
      <c r="AU61" s="111">
        <v>21472.18</v>
      </c>
      <c r="AV61" s="111">
        <f t="shared" si="1"/>
        <v>90.914890802890056</v>
      </c>
    </row>
    <row r="62" spans="1:48" x14ac:dyDescent="0.3">
      <c r="A62" s="105">
        <v>1968</v>
      </c>
      <c r="B62" s="106">
        <f>'Pasture 1'!E63</f>
        <v>316.62</v>
      </c>
      <c r="C62" s="106"/>
      <c r="D62" s="106">
        <f>'Pasture 2N'!E55</f>
        <v>1856.07</v>
      </c>
      <c r="E62" s="106">
        <f>'Pasture 2SW'!E55</f>
        <v>1971.44</v>
      </c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>
        <f>'Pasture 3'!E49</f>
        <v>1661.6</v>
      </c>
      <c r="R62" s="106">
        <f>'Pasture 4'!E55</f>
        <v>269.97000000000003</v>
      </c>
      <c r="S62" s="106"/>
      <c r="T62" s="106">
        <f>'Pasture 5N'!E52</f>
        <v>2216.1</v>
      </c>
      <c r="U62" s="106"/>
      <c r="V62" s="106">
        <f>'Pasture 5S'!E52</f>
        <v>1902.5</v>
      </c>
      <c r="W62" s="106"/>
      <c r="X62" s="106">
        <f>'Pasture 6A'!E55</f>
        <v>1455.86</v>
      </c>
      <c r="Y62" s="106">
        <f>'Pasture 6B'!E55</f>
        <v>1479.89</v>
      </c>
      <c r="Z62" s="106">
        <f>'Pasture 6C'!E55</f>
        <v>172.899</v>
      </c>
      <c r="AA62" s="106"/>
      <c r="AB62" s="106"/>
      <c r="AC62" s="106">
        <f>'Pasture 8'!E56</f>
        <v>329.97</v>
      </c>
      <c r="AD62" s="106">
        <f>'Pasture 9'!E62</f>
        <v>361.6</v>
      </c>
      <c r="AE62" s="106">
        <f>'Pasture 10'!E62</f>
        <v>240.42</v>
      </c>
      <c r="AF62" s="106"/>
      <c r="AG62" s="106">
        <f>'Pasture 11A'!E49</f>
        <v>79.180000000000007</v>
      </c>
      <c r="AH62" s="106">
        <f>'Pasture 11B'!E49</f>
        <v>172.4</v>
      </c>
      <c r="AI62" s="106"/>
      <c r="AJ62" s="106"/>
      <c r="AK62" s="106">
        <f>'Pasture 12A'!E46</f>
        <v>1166.55</v>
      </c>
      <c r="AL62" s="106">
        <f>'Pasture 12B'!E46</f>
        <v>2098.66</v>
      </c>
      <c r="AM62" s="106"/>
      <c r="AN62" s="106"/>
      <c r="AO62" s="106"/>
      <c r="AP62" s="106">
        <f>'Pasture 15'!E42</f>
        <v>1707.4</v>
      </c>
      <c r="AQ62" s="106">
        <f>'Pasture 140'!E30</f>
        <v>62.28</v>
      </c>
      <c r="AS62" s="105">
        <v>1968</v>
      </c>
      <c r="AT62" s="111">
        <f t="shared" si="0"/>
        <v>19521.409</v>
      </c>
      <c r="AU62" s="111">
        <v>21472.18</v>
      </c>
      <c r="AV62" s="111">
        <f t="shared" si="1"/>
        <v>90.914890802890056</v>
      </c>
    </row>
    <row r="63" spans="1:48" x14ac:dyDescent="0.3">
      <c r="A63" s="105">
        <v>1969</v>
      </c>
      <c r="B63" s="106">
        <f>'Pasture 1'!E64</f>
        <v>316.62</v>
      </c>
      <c r="C63" s="106"/>
      <c r="D63" s="106">
        <f>'Pasture 2N'!E56</f>
        <v>1856.07</v>
      </c>
      <c r="E63" s="106">
        <f>'Pasture 2SW'!E56</f>
        <v>1971.44</v>
      </c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>
        <f>'Pasture 3'!E50</f>
        <v>1661.6</v>
      </c>
      <c r="R63" s="106">
        <f>'Pasture 4'!E56</f>
        <v>269.97000000000003</v>
      </c>
      <c r="S63" s="106"/>
      <c r="T63" s="106">
        <f>'Pasture 5N'!E53</f>
        <v>2216.1</v>
      </c>
      <c r="U63" s="106"/>
      <c r="V63" s="106">
        <f>'Pasture 5S'!E53</f>
        <v>1902.5</v>
      </c>
      <c r="W63" s="106"/>
      <c r="X63" s="106">
        <f>'Pasture 6A'!E56</f>
        <v>1455.86</v>
      </c>
      <c r="Y63" s="106">
        <f>'Pasture 6B'!E56</f>
        <v>1479.89</v>
      </c>
      <c r="Z63" s="106">
        <f>'Pasture 6C'!E56</f>
        <v>172.899</v>
      </c>
      <c r="AA63" s="106"/>
      <c r="AB63" s="106"/>
      <c r="AC63" s="106">
        <f>'Pasture 8'!E57</f>
        <v>329.97</v>
      </c>
      <c r="AD63" s="106">
        <f>'Pasture 9'!E63</f>
        <v>361.6</v>
      </c>
      <c r="AE63" s="106">
        <f>'Pasture 10'!E63</f>
        <v>240.42</v>
      </c>
      <c r="AF63" s="106"/>
      <c r="AG63" s="106">
        <f>'Pasture 11A'!E50</f>
        <v>79.180000000000007</v>
      </c>
      <c r="AH63" s="106">
        <f>'Pasture 11B'!E50</f>
        <v>172.4</v>
      </c>
      <c r="AI63" s="106"/>
      <c r="AJ63" s="106"/>
      <c r="AK63" s="106">
        <f>'Pasture 12A'!E47</f>
        <v>1166.55</v>
      </c>
      <c r="AL63" s="106">
        <f>'Pasture 12B'!E47</f>
        <v>2098.66</v>
      </c>
      <c r="AM63" s="106"/>
      <c r="AN63" s="106"/>
      <c r="AO63" s="106"/>
      <c r="AP63" s="106">
        <f>'Pasture 15'!E43</f>
        <v>1707.4</v>
      </c>
      <c r="AQ63" s="106">
        <f>'Pasture 140'!E31</f>
        <v>62.28</v>
      </c>
      <c r="AS63" s="105">
        <v>1969</v>
      </c>
      <c r="AT63" s="111">
        <f t="shared" si="0"/>
        <v>19521.409</v>
      </c>
      <c r="AU63" s="111">
        <v>21472.18</v>
      </c>
      <c r="AV63" s="111">
        <f t="shared" si="1"/>
        <v>90.914890802890056</v>
      </c>
    </row>
    <row r="64" spans="1:48" x14ac:dyDescent="0.3">
      <c r="A64" s="105">
        <v>1970</v>
      </c>
      <c r="B64" s="106">
        <f>'Pasture 1'!E65</f>
        <v>316.62</v>
      </c>
      <c r="C64" s="106"/>
      <c r="D64" s="106">
        <f>'Pasture 2N'!E57</f>
        <v>1856.07</v>
      </c>
      <c r="E64" s="106">
        <f>'Pasture 2SW'!E57</f>
        <v>1971.44</v>
      </c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>
        <f>'Pasture 3'!E51</f>
        <v>1661.6</v>
      </c>
      <c r="R64" s="106">
        <f>'Pasture 4'!E57</f>
        <v>269.97000000000003</v>
      </c>
      <c r="S64" s="106"/>
      <c r="T64" s="106">
        <f>'Pasture 5N'!E54</f>
        <v>2216.1</v>
      </c>
      <c r="U64" s="106"/>
      <c r="V64" s="106">
        <f>'Pasture 5S'!E54</f>
        <v>1902.5</v>
      </c>
      <c r="W64" s="106"/>
      <c r="X64" s="106">
        <f>'Pasture 6A'!E57</f>
        <v>1455.86</v>
      </c>
      <c r="Y64" s="106">
        <f>'Pasture 6B'!E57</f>
        <v>1479.89</v>
      </c>
      <c r="Z64" s="106">
        <f>'Pasture 6C'!E57</f>
        <v>172.899</v>
      </c>
      <c r="AA64" s="106"/>
      <c r="AB64" s="106"/>
      <c r="AC64" s="106">
        <f>'Pasture 8'!E58</f>
        <v>329.97</v>
      </c>
      <c r="AD64" s="106">
        <f>'Pasture 9'!E64</f>
        <v>361.6</v>
      </c>
      <c r="AE64" s="106">
        <f>'Pasture 10'!E64</f>
        <v>240.42</v>
      </c>
      <c r="AF64" s="106"/>
      <c r="AG64" s="106">
        <f>'Pasture 11A'!E51</f>
        <v>79.180000000000007</v>
      </c>
      <c r="AH64" s="106">
        <f>'Pasture 11B'!E51</f>
        <v>172.4</v>
      </c>
      <c r="AI64" s="106"/>
      <c r="AJ64" s="106"/>
      <c r="AK64" s="106">
        <f>'Pasture 12A'!E48</f>
        <v>1166.55</v>
      </c>
      <c r="AL64" s="106">
        <f>'Pasture 12B'!E48</f>
        <v>2098.66</v>
      </c>
      <c r="AM64" s="106"/>
      <c r="AN64" s="106"/>
      <c r="AO64" s="106"/>
      <c r="AP64" s="106">
        <f>'Pasture 15'!E44</f>
        <v>1707.4</v>
      </c>
      <c r="AQ64" s="106">
        <f>'Pasture 140'!E32</f>
        <v>62.28</v>
      </c>
      <c r="AS64" s="105">
        <v>1970</v>
      </c>
      <c r="AT64" s="111">
        <f t="shared" si="0"/>
        <v>19521.409</v>
      </c>
      <c r="AU64" s="111">
        <v>21472.18</v>
      </c>
      <c r="AV64" s="111">
        <f t="shared" si="1"/>
        <v>90.914890802890056</v>
      </c>
    </row>
    <row r="65" spans="1:48" x14ac:dyDescent="0.3">
      <c r="A65" s="105">
        <v>1971</v>
      </c>
      <c r="B65" s="106">
        <f>'Pasture 1'!E66</f>
        <v>316.62</v>
      </c>
      <c r="C65" s="106"/>
      <c r="D65" s="106">
        <f>'Pasture 2N'!E58</f>
        <v>1856.07</v>
      </c>
      <c r="E65" s="106">
        <f>'Pasture 2SW'!E58</f>
        <v>1971.44</v>
      </c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>
        <f>'Pasture 3'!E52</f>
        <v>1661.6</v>
      </c>
      <c r="R65" s="106">
        <f>'Pasture 4'!E58</f>
        <v>269.97000000000003</v>
      </c>
      <c r="S65" s="106"/>
      <c r="T65" s="106">
        <f>'Pasture 5N'!E55</f>
        <v>2216.1</v>
      </c>
      <c r="U65" s="106"/>
      <c r="V65" s="106">
        <f>'Pasture 5S'!E55</f>
        <v>1902.5</v>
      </c>
      <c r="W65" s="106"/>
      <c r="X65" s="106">
        <f>'Pasture 6A'!E58</f>
        <v>1455.86</v>
      </c>
      <c r="Y65" s="106">
        <f>'Pasture 6B'!E58</f>
        <v>1479.89</v>
      </c>
      <c r="Z65" s="106">
        <f>'Pasture 6C'!E58</f>
        <v>172.899</v>
      </c>
      <c r="AA65" s="106"/>
      <c r="AB65" s="106"/>
      <c r="AC65" s="106">
        <f>'Pasture 8'!E59</f>
        <v>329.97</v>
      </c>
      <c r="AD65" s="106">
        <f>'Pasture 9'!E65</f>
        <v>361.6</v>
      </c>
      <c r="AE65" s="106">
        <f>'Pasture 10'!E65</f>
        <v>240.42</v>
      </c>
      <c r="AF65" s="106"/>
      <c r="AG65" s="106">
        <f>'Pasture 11A'!E52</f>
        <v>79.180000000000007</v>
      </c>
      <c r="AH65" s="106">
        <f>'Pasture 11B'!E52</f>
        <v>172.4</v>
      </c>
      <c r="AI65" s="106"/>
      <c r="AJ65" s="106"/>
      <c r="AK65" s="106">
        <f>'Pasture 12A'!E49</f>
        <v>1166.55</v>
      </c>
      <c r="AL65" s="106">
        <f>'Pasture 12B'!E49</f>
        <v>2098.66</v>
      </c>
      <c r="AM65" s="106"/>
      <c r="AN65" s="106"/>
      <c r="AO65" s="106"/>
      <c r="AP65" s="106">
        <f>'Pasture 15'!E45</f>
        <v>1707.4</v>
      </c>
      <c r="AQ65" s="106">
        <f>'Pasture 140'!E33</f>
        <v>62.28</v>
      </c>
      <c r="AS65" s="105">
        <v>1971</v>
      </c>
      <c r="AT65" s="111">
        <f t="shared" si="0"/>
        <v>19521.409</v>
      </c>
      <c r="AU65" s="111">
        <v>21472.18</v>
      </c>
      <c r="AV65" s="111">
        <f t="shared" si="1"/>
        <v>90.914890802890056</v>
      </c>
    </row>
    <row r="66" spans="1:48" x14ac:dyDescent="0.3">
      <c r="A66" s="105">
        <v>1972</v>
      </c>
      <c r="B66" s="106">
        <f>'Pasture 1'!E67</f>
        <v>316.62</v>
      </c>
      <c r="C66" s="106"/>
      <c r="D66" s="106">
        <f>'Pasture 2N'!E59</f>
        <v>1856.07</v>
      </c>
      <c r="E66" s="106">
        <f>'Pasture 2SW'!E59</f>
        <v>1341.04</v>
      </c>
      <c r="F66" s="106">
        <f>'UA Cell D'!E59</f>
        <v>315.63</v>
      </c>
      <c r="G66" s="106">
        <f>'UA Cell F'!E59</f>
        <v>314.77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>
        <f>'Pasture 3'!E53</f>
        <v>1661.6</v>
      </c>
      <c r="R66" s="106">
        <f>'Pasture 4'!E59</f>
        <v>269.97000000000003</v>
      </c>
      <c r="S66" s="106"/>
      <c r="T66" s="106">
        <f>'Pasture 5N'!E56</f>
        <v>2216.1</v>
      </c>
      <c r="U66" s="106"/>
      <c r="V66" s="106">
        <f>'Pasture 5S'!E56</f>
        <v>1902.5</v>
      </c>
      <c r="W66" s="106"/>
      <c r="X66" s="106">
        <f>'Pasture 6A'!E59</f>
        <v>1455.86</v>
      </c>
      <c r="Y66" s="106">
        <f>'Pasture 6B'!E59</f>
        <v>1479.89</v>
      </c>
      <c r="Z66" s="106">
        <f>'Pasture 6C'!E59</f>
        <v>172.899</v>
      </c>
      <c r="AA66" s="106"/>
      <c r="AB66" s="106"/>
      <c r="AC66" s="106">
        <f>'Pasture 8'!E60</f>
        <v>329.97</v>
      </c>
      <c r="AD66" s="106">
        <f>'Pasture 9'!E66</f>
        <v>361.6</v>
      </c>
      <c r="AE66" s="106">
        <f>'Pasture 10'!E66</f>
        <v>240.42</v>
      </c>
      <c r="AF66" s="106"/>
      <c r="AG66" s="106">
        <f>'Pasture 11A'!E53</f>
        <v>79.180000000000007</v>
      </c>
      <c r="AH66" s="106">
        <f>'Pasture 11B'!E53</f>
        <v>172.4</v>
      </c>
      <c r="AI66" s="106"/>
      <c r="AJ66" s="106"/>
      <c r="AK66" s="106">
        <f>'Pasture 12A'!E50</f>
        <v>1166.55</v>
      </c>
      <c r="AL66" s="106">
        <f>'Pasture 12B'!E50</f>
        <v>2098.66</v>
      </c>
      <c r="AM66" s="106"/>
      <c r="AN66" s="106"/>
      <c r="AO66" s="106"/>
      <c r="AP66" s="106">
        <f>'Pasture 15'!E46</f>
        <v>1707.4</v>
      </c>
      <c r="AQ66" s="106">
        <f>'Pasture 140'!E34</f>
        <v>62.28</v>
      </c>
      <c r="AS66" s="105">
        <v>1972</v>
      </c>
      <c r="AT66" s="111">
        <f t="shared" si="0"/>
        <v>19521.409</v>
      </c>
      <c r="AU66" s="111">
        <v>21472.18</v>
      </c>
      <c r="AV66" s="111">
        <f t="shared" si="1"/>
        <v>90.914890802890056</v>
      </c>
    </row>
    <row r="67" spans="1:48" x14ac:dyDescent="0.3">
      <c r="A67" s="105">
        <v>1973</v>
      </c>
      <c r="B67" s="106">
        <f>'Pasture 1'!E68</f>
        <v>316.62</v>
      </c>
      <c r="C67" s="106"/>
      <c r="D67" s="106">
        <f>'Pasture 2N'!E60</f>
        <v>1856.07</v>
      </c>
      <c r="E67" s="106">
        <f>'Pasture 2SW'!E60</f>
        <v>1341.04</v>
      </c>
      <c r="F67" s="106">
        <f>'UA Cell D'!E60</f>
        <v>315.63</v>
      </c>
      <c r="G67" s="106">
        <f>'UA Cell F'!E60</f>
        <v>314.77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>
        <f>'Pasture 3'!E54</f>
        <v>1661.6</v>
      </c>
      <c r="R67" s="106">
        <f>'Pasture 4'!E60</f>
        <v>269.97000000000003</v>
      </c>
      <c r="S67" s="106"/>
      <c r="T67" s="106">
        <f>'Pasture 5N'!E57</f>
        <v>2216.1</v>
      </c>
      <c r="U67" s="106"/>
      <c r="V67" s="106">
        <f>'Pasture 5S'!E57</f>
        <v>1902.5</v>
      </c>
      <c r="W67" s="106"/>
      <c r="X67" s="106">
        <f>'Pasture 6A'!E60</f>
        <v>1455.86</v>
      </c>
      <c r="Y67" s="106">
        <f>'Pasture 6B'!E60</f>
        <v>1479.89</v>
      </c>
      <c r="Z67" s="106">
        <f>'Pasture 6C'!E60</f>
        <v>172.899</v>
      </c>
      <c r="AA67" s="106"/>
      <c r="AB67" s="106"/>
      <c r="AC67" s="106">
        <f>'Pasture 8'!E61</f>
        <v>329.97</v>
      </c>
      <c r="AD67" s="106">
        <f>'Pasture 9'!E67</f>
        <v>361.6</v>
      </c>
      <c r="AE67" s="106">
        <f>'Pasture 10'!E67</f>
        <v>240.42</v>
      </c>
      <c r="AF67" s="106"/>
      <c r="AG67" s="106">
        <f>'Pasture 11A'!E54</f>
        <v>79.180000000000007</v>
      </c>
      <c r="AH67" s="106">
        <f>'Pasture 11B'!E54</f>
        <v>172.4</v>
      </c>
      <c r="AI67" s="106"/>
      <c r="AJ67" s="106"/>
      <c r="AK67" s="106">
        <f>'Pasture 12A'!E51</f>
        <v>1166.55</v>
      </c>
      <c r="AL67" s="106">
        <f>'Pasture 12B'!E51</f>
        <v>2098.66</v>
      </c>
      <c r="AM67" s="106"/>
      <c r="AN67" s="106"/>
      <c r="AO67" s="106"/>
      <c r="AP67" s="106">
        <f>'Pasture 15'!E47</f>
        <v>1707.4</v>
      </c>
      <c r="AQ67" s="106">
        <f>'Pasture 140'!E35</f>
        <v>62.28</v>
      </c>
      <c r="AS67" s="105">
        <v>1973</v>
      </c>
      <c r="AT67" s="111">
        <f t="shared" ref="AT67:AT114" si="2">SUM(B67:AQ67)</f>
        <v>19521.409</v>
      </c>
      <c r="AU67" s="111">
        <v>21472.18</v>
      </c>
      <c r="AV67" s="111">
        <f t="shared" ref="AV67:AV104" si="3">(AT67/AU67)*100</f>
        <v>90.914890802890056</v>
      </c>
    </row>
    <row r="68" spans="1:48" x14ac:dyDescent="0.3">
      <c r="A68" s="105">
        <v>1974</v>
      </c>
      <c r="B68" s="106">
        <f>'Pasture 1'!E69</f>
        <v>316.62</v>
      </c>
      <c r="C68" s="106"/>
      <c r="D68" s="106">
        <f>'Pasture 2N'!E61</f>
        <v>1856.07</v>
      </c>
      <c r="E68" s="106">
        <f>'Pasture 2SW'!E61</f>
        <v>1341.04</v>
      </c>
      <c r="F68" s="106">
        <f>'UA Cell D'!E61</f>
        <v>315.63</v>
      </c>
      <c r="G68" s="106">
        <f>'UA Cell F'!E61</f>
        <v>314.77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>
        <f>'Pasture 3'!E55</f>
        <v>1661.6</v>
      </c>
      <c r="R68" s="106">
        <f>'Pasture 4'!E61</f>
        <v>269.97000000000003</v>
      </c>
      <c r="S68" s="106"/>
      <c r="T68" s="106">
        <f>'Pasture 5N'!E58</f>
        <v>2216.1</v>
      </c>
      <c r="U68" s="106"/>
      <c r="V68" s="106">
        <f>'Pasture 5S'!E58</f>
        <v>1902.5</v>
      </c>
      <c r="W68" s="106"/>
      <c r="X68" s="106">
        <f>'Pasture 6A'!E61</f>
        <v>1455.86</v>
      </c>
      <c r="Y68" s="106">
        <f>'Pasture 6B'!E61</f>
        <v>1479.89</v>
      </c>
      <c r="Z68" s="106">
        <f>'Pasture 6C'!E61</f>
        <v>172.899</v>
      </c>
      <c r="AA68" s="106"/>
      <c r="AB68" s="106"/>
      <c r="AC68" s="106">
        <f>'Pasture 8'!E62</f>
        <v>329.97</v>
      </c>
      <c r="AD68" s="106">
        <f>'Pasture 9'!E68</f>
        <v>361.6</v>
      </c>
      <c r="AE68" s="106">
        <f>'Pasture 10'!E68</f>
        <v>240.42</v>
      </c>
      <c r="AF68" s="106"/>
      <c r="AG68" s="106">
        <f>'Pasture 11A'!E55</f>
        <v>79.180000000000007</v>
      </c>
      <c r="AH68" s="106">
        <f>'Pasture 11B'!E55</f>
        <v>172.4</v>
      </c>
      <c r="AI68" s="106"/>
      <c r="AJ68" s="106"/>
      <c r="AK68" s="106">
        <f>'Pasture 12A'!E52</f>
        <v>1166.55</v>
      </c>
      <c r="AL68" s="106">
        <f>'Pasture 12B'!E52</f>
        <v>2098.66</v>
      </c>
      <c r="AM68" s="106"/>
      <c r="AN68" s="106"/>
      <c r="AO68" s="106"/>
      <c r="AP68" s="106">
        <f>'Pasture 15'!E48</f>
        <v>1707.4</v>
      </c>
      <c r="AQ68" s="106">
        <f>'Pasture 140'!E36</f>
        <v>62.28</v>
      </c>
      <c r="AS68" s="105">
        <v>1974</v>
      </c>
      <c r="AT68" s="111">
        <f t="shared" si="2"/>
        <v>19521.409</v>
      </c>
      <c r="AU68" s="111">
        <v>21472.18</v>
      </c>
      <c r="AV68" s="111">
        <f t="shared" si="3"/>
        <v>90.914890802890056</v>
      </c>
    </row>
    <row r="69" spans="1:48" x14ac:dyDescent="0.3">
      <c r="A69" s="105">
        <v>1975</v>
      </c>
      <c r="B69" s="106">
        <f>'Pasture 1'!E70</f>
        <v>316.62</v>
      </c>
      <c r="C69" s="106"/>
      <c r="D69" s="106">
        <f>'Pasture 2N'!E62</f>
        <v>1856.07</v>
      </c>
      <c r="E69" s="106">
        <f>'Pasture 2SW'!E62</f>
        <v>1341.04</v>
      </c>
      <c r="F69" s="106">
        <f>'UA Cell D'!E62</f>
        <v>315.63</v>
      </c>
      <c r="G69" s="106">
        <f>'UA Cell F'!E62</f>
        <v>314.77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>
        <f>'Pasture 3'!E56</f>
        <v>1661.6</v>
      </c>
      <c r="R69" s="106">
        <f>'Pasture 4'!E62</f>
        <v>269.97000000000003</v>
      </c>
      <c r="S69" s="106"/>
      <c r="T69" s="106">
        <f>'Pasture 5N'!E59</f>
        <v>2216.1</v>
      </c>
      <c r="U69" s="106"/>
      <c r="V69" s="106">
        <f>'Pasture 5S'!E59</f>
        <v>1902.5</v>
      </c>
      <c r="W69" s="106"/>
      <c r="X69" s="106">
        <f>'Pasture 6A'!E62</f>
        <v>1455.86</v>
      </c>
      <c r="Y69" s="106">
        <f>'Pasture 6B'!E62</f>
        <v>1479.89</v>
      </c>
      <c r="Z69" s="106">
        <f>'Pasture 6C'!E62</f>
        <v>172.899</v>
      </c>
      <c r="AA69" s="106"/>
      <c r="AB69" s="106"/>
      <c r="AC69" s="106">
        <f>'Pasture 8'!E63</f>
        <v>329.97</v>
      </c>
      <c r="AD69" s="106">
        <f>'Pasture 9'!E69</f>
        <v>361.6</v>
      </c>
      <c r="AE69" s="106">
        <f>'Pasture 10'!E69</f>
        <v>240.42</v>
      </c>
      <c r="AF69" s="106"/>
      <c r="AG69" s="106">
        <f>'Pasture 11A'!E56</f>
        <v>79.180000000000007</v>
      </c>
      <c r="AH69" s="106">
        <f>'Pasture 11B'!E56</f>
        <v>172.4</v>
      </c>
      <c r="AI69" s="106"/>
      <c r="AJ69" s="106"/>
      <c r="AK69" s="106">
        <f>'Pasture 12A'!E53</f>
        <v>1166.55</v>
      </c>
      <c r="AL69" s="106">
        <f>'Pasture 12B'!E53</f>
        <v>2098.66</v>
      </c>
      <c r="AM69" s="106"/>
      <c r="AN69" s="106"/>
      <c r="AO69" s="106"/>
      <c r="AP69" s="106">
        <f>'Pasture 15'!E49</f>
        <v>1707.4</v>
      </c>
      <c r="AQ69" s="106">
        <f>'Pasture 140'!E37</f>
        <v>62.28</v>
      </c>
      <c r="AS69" s="105">
        <v>1975</v>
      </c>
      <c r="AT69" s="111">
        <f t="shared" si="2"/>
        <v>19521.409</v>
      </c>
      <c r="AU69" s="111">
        <v>21472.18</v>
      </c>
      <c r="AV69" s="111">
        <f t="shared" si="3"/>
        <v>90.914890802890056</v>
      </c>
    </row>
    <row r="70" spans="1:48" x14ac:dyDescent="0.3">
      <c r="A70" s="105">
        <v>1976</v>
      </c>
      <c r="B70" s="106">
        <f>'Pasture 1'!E71</f>
        <v>316.62</v>
      </c>
      <c r="C70" s="106"/>
      <c r="D70" s="106">
        <f>'Pasture 2N'!E63</f>
        <v>1856.07</v>
      </c>
      <c r="E70" s="106">
        <f>'Pasture 2SW'!E63</f>
        <v>1341.04</v>
      </c>
      <c r="F70" s="106">
        <f>'UA Cell D'!E63</f>
        <v>315.63</v>
      </c>
      <c r="G70" s="106">
        <f>'UA Cell F'!E63</f>
        <v>314.77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>
        <f>'Pasture 3'!E57</f>
        <v>1661.6</v>
      </c>
      <c r="R70" s="106">
        <f>'Pasture 4'!E63</f>
        <v>269.97000000000003</v>
      </c>
      <c r="S70" s="106"/>
      <c r="T70" s="106">
        <f>'Pasture 5N'!E60</f>
        <v>2216.1</v>
      </c>
      <c r="U70" s="106"/>
      <c r="V70" s="106">
        <f>'Pasture 5S'!E60</f>
        <v>1902.5</v>
      </c>
      <c r="W70" s="106"/>
      <c r="X70" s="106">
        <f>'Pasture 6A'!E63</f>
        <v>1455.86</v>
      </c>
      <c r="Y70" s="106">
        <f>'Pasture 6B'!E63</f>
        <v>1479.89</v>
      </c>
      <c r="Z70" s="106">
        <f>'Pasture 6C'!E63</f>
        <v>172.899</v>
      </c>
      <c r="AA70" s="106"/>
      <c r="AB70" s="106"/>
      <c r="AC70" s="106">
        <f>'Pasture 8'!E64</f>
        <v>329.97</v>
      </c>
      <c r="AD70" s="106">
        <f>'Pasture 9'!E70</f>
        <v>361.6</v>
      </c>
      <c r="AE70" s="106">
        <f>'Pasture 10'!E70</f>
        <v>240.42</v>
      </c>
      <c r="AF70" s="106"/>
      <c r="AG70" s="106">
        <f>'Pasture 11A'!E57</f>
        <v>79.180000000000007</v>
      </c>
      <c r="AH70" s="106">
        <f>'Pasture 11B'!E57</f>
        <v>172.4</v>
      </c>
      <c r="AI70" s="106"/>
      <c r="AJ70" s="106"/>
      <c r="AK70" s="106">
        <f>'Pasture 12A'!E54</f>
        <v>1166.55</v>
      </c>
      <c r="AL70" s="106">
        <f>'Pasture 12B'!E54</f>
        <v>2098.66</v>
      </c>
      <c r="AM70" s="106"/>
      <c r="AN70" s="106"/>
      <c r="AO70" s="106"/>
      <c r="AP70" s="106">
        <f>'Pasture 15'!E50</f>
        <v>1707.4</v>
      </c>
      <c r="AQ70" s="106">
        <f>'Pasture 140'!E38</f>
        <v>62.28</v>
      </c>
      <c r="AS70" s="105">
        <v>1976</v>
      </c>
      <c r="AT70" s="111">
        <f t="shared" si="2"/>
        <v>19521.409</v>
      </c>
      <c r="AU70" s="111">
        <v>21472.18</v>
      </c>
      <c r="AV70" s="111">
        <f t="shared" si="3"/>
        <v>90.914890802890056</v>
      </c>
    </row>
    <row r="71" spans="1:48" x14ac:dyDescent="0.3">
      <c r="A71" s="105">
        <v>1977</v>
      </c>
      <c r="B71" s="106">
        <v>316</v>
      </c>
      <c r="C71" s="106"/>
      <c r="D71" s="106">
        <v>1855</v>
      </c>
      <c r="E71" s="106">
        <f>'Pasture 2SW'!E64</f>
        <v>1341.04</v>
      </c>
      <c r="F71" s="106">
        <f>'UA Cell D'!E64</f>
        <v>315.63</v>
      </c>
      <c r="G71" s="106">
        <f>'UA Cell F'!E64</f>
        <v>314.77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>
        <f>'Pasture 3'!E58</f>
        <v>1661.6</v>
      </c>
      <c r="R71" s="106">
        <f>'Pasture 4'!E64</f>
        <v>269.97000000000003</v>
      </c>
      <c r="S71" s="106"/>
      <c r="T71" s="106">
        <f>'Pasture 5N'!E61</f>
        <v>2216.1</v>
      </c>
      <c r="U71" s="106"/>
      <c r="V71" s="106">
        <f>'Pasture 5S'!E61</f>
        <v>1902.5</v>
      </c>
      <c r="W71" s="106"/>
      <c r="X71" s="106">
        <f>'Pasture 6A'!E64</f>
        <v>1455.86</v>
      </c>
      <c r="Y71" s="106">
        <f>'Pasture 6B'!E64</f>
        <v>1479.89</v>
      </c>
      <c r="Z71" s="106">
        <f>'Pasture 6C'!E64</f>
        <v>172.899</v>
      </c>
      <c r="AA71" s="106"/>
      <c r="AB71" s="106"/>
      <c r="AC71" s="106">
        <f>'Pasture 8'!E65</f>
        <v>329.97</v>
      </c>
      <c r="AD71" s="106">
        <f>'Pasture 9'!E71</f>
        <v>361.6</v>
      </c>
      <c r="AE71" s="106">
        <f>'Pasture 10'!E71</f>
        <v>240.42</v>
      </c>
      <c r="AF71" s="106"/>
      <c r="AG71" s="106">
        <f>'Pasture 11A'!E58</f>
        <v>79.180000000000007</v>
      </c>
      <c r="AH71" s="106">
        <v>172.4</v>
      </c>
      <c r="AI71" s="106"/>
      <c r="AJ71" s="106"/>
      <c r="AK71" s="106">
        <f>'Pasture 12A'!E55</f>
        <v>1166.55</v>
      </c>
      <c r="AL71" s="106">
        <f>'Pasture 12B'!E55</f>
        <v>2098.66</v>
      </c>
      <c r="AM71" s="106"/>
      <c r="AN71" s="106"/>
      <c r="AO71" s="106"/>
      <c r="AP71" s="106">
        <f>'Pasture 15'!E51</f>
        <v>1707.4</v>
      </c>
      <c r="AQ71" s="106">
        <f>'Pasture 140'!E39</f>
        <v>62.28</v>
      </c>
      <c r="AS71" s="105">
        <v>1977</v>
      </c>
      <c r="AT71" s="111">
        <f t="shared" si="2"/>
        <v>19519.718999999997</v>
      </c>
      <c r="AU71" s="111">
        <v>21472.18</v>
      </c>
      <c r="AV71" s="111">
        <f t="shared" si="3"/>
        <v>90.907020153519568</v>
      </c>
    </row>
    <row r="72" spans="1:48" x14ac:dyDescent="0.3">
      <c r="A72" s="105">
        <v>1978</v>
      </c>
      <c r="B72" s="106">
        <v>316</v>
      </c>
      <c r="C72" s="106"/>
      <c r="D72" s="106">
        <v>1855</v>
      </c>
      <c r="E72" s="106">
        <f>'Pasture 2SW'!E65</f>
        <v>1341.04</v>
      </c>
      <c r="F72" s="106">
        <f>'UA Cell D'!E65</f>
        <v>315.63</v>
      </c>
      <c r="G72" s="106">
        <f>'UA Cell F'!E65</f>
        <v>314.77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>
        <f>'Pasture 3'!E59</f>
        <v>1661.6</v>
      </c>
      <c r="R72" s="106">
        <f>'Pasture 4'!E65</f>
        <v>269.97000000000003</v>
      </c>
      <c r="S72" s="106"/>
      <c r="T72" s="106">
        <f>'Pasture 5N'!E62</f>
        <v>2216.1</v>
      </c>
      <c r="U72" s="106"/>
      <c r="V72" s="106">
        <f>'Pasture 5S'!E62</f>
        <v>1902.5</v>
      </c>
      <c r="W72" s="106"/>
      <c r="X72" s="106">
        <f>'Pasture 6A'!E65</f>
        <v>1455.86</v>
      </c>
      <c r="Y72" s="106">
        <f>'Pasture 6B'!E65</f>
        <v>1479.89</v>
      </c>
      <c r="Z72" s="106">
        <f>'Pasture 6C'!E65</f>
        <v>172.899</v>
      </c>
      <c r="AA72" s="106"/>
      <c r="AB72" s="106"/>
      <c r="AC72" s="106">
        <f>'Pasture 8'!E66</f>
        <v>329.97</v>
      </c>
      <c r="AD72" s="106">
        <f>'Pasture 9'!E72</f>
        <v>361.6</v>
      </c>
      <c r="AE72" s="106">
        <f>'Pasture 10'!E72</f>
        <v>240.42</v>
      </c>
      <c r="AF72" s="106"/>
      <c r="AG72" s="106">
        <f>'Pasture 11A'!E59</f>
        <v>79.180000000000007</v>
      </c>
      <c r="AH72" s="106">
        <v>172.4</v>
      </c>
      <c r="AI72" s="106"/>
      <c r="AJ72" s="106"/>
      <c r="AK72" s="106">
        <f>'Pasture 12A'!E56</f>
        <v>1166.55</v>
      </c>
      <c r="AL72" s="106">
        <f>'Pasture 12B'!E56</f>
        <v>2098.66</v>
      </c>
      <c r="AM72" s="106"/>
      <c r="AN72" s="106"/>
      <c r="AO72" s="106"/>
      <c r="AP72" s="106">
        <f>'Pasture 15'!E52</f>
        <v>1707.4</v>
      </c>
      <c r="AQ72" s="106">
        <f>'Pasture 140'!E40</f>
        <v>62.28</v>
      </c>
      <c r="AS72" s="105">
        <v>1978</v>
      </c>
      <c r="AT72" s="111">
        <f t="shared" si="2"/>
        <v>19519.718999999997</v>
      </c>
      <c r="AU72" s="111">
        <v>21472.18</v>
      </c>
      <c r="AV72" s="111">
        <f t="shared" si="3"/>
        <v>90.907020153519568</v>
      </c>
    </row>
    <row r="73" spans="1:48" x14ac:dyDescent="0.3">
      <c r="A73" s="105">
        <v>1979</v>
      </c>
      <c r="B73" s="106">
        <v>316</v>
      </c>
      <c r="C73" s="106"/>
      <c r="D73" s="106">
        <v>1855</v>
      </c>
      <c r="E73" s="106">
        <f>'Pasture 2SW'!E66</f>
        <v>1341.04</v>
      </c>
      <c r="F73" s="106">
        <f>'UA Cell D'!E66</f>
        <v>315.63</v>
      </c>
      <c r="G73" s="106">
        <f>'UA Cell F'!E66</f>
        <v>314.77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>
        <f>'Pasture 3'!E60</f>
        <v>1661.6</v>
      </c>
      <c r="R73" s="106">
        <f>'Pasture 4'!E66</f>
        <v>269.97000000000003</v>
      </c>
      <c r="S73" s="106"/>
      <c r="T73" s="106">
        <f>'Pasture 5N'!E63</f>
        <v>2216.1</v>
      </c>
      <c r="U73" s="106"/>
      <c r="V73" s="106">
        <f>'Pasture 5S'!E63</f>
        <v>1902.5</v>
      </c>
      <c r="W73" s="106"/>
      <c r="X73" s="106">
        <f>'Pasture 6A'!E66</f>
        <v>1455.86</v>
      </c>
      <c r="Y73" s="106">
        <f>'Pasture 6B'!E66</f>
        <v>1479.89</v>
      </c>
      <c r="Z73" s="106">
        <f>'Pasture 6C'!E66</f>
        <v>172.899</v>
      </c>
      <c r="AA73" s="106"/>
      <c r="AB73" s="106"/>
      <c r="AC73" s="106">
        <f>'Pasture 8'!E67</f>
        <v>329.97</v>
      </c>
      <c r="AD73" s="106">
        <f>'Pasture 9'!E73</f>
        <v>361.6</v>
      </c>
      <c r="AE73" s="106">
        <f>'Pasture 10'!E73</f>
        <v>240.42</v>
      </c>
      <c r="AF73" s="106"/>
      <c r="AG73" s="106">
        <f>'Pasture 11A'!E60</f>
        <v>79.180000000000007</v>
      </c>
      <c r="AH73" s="106">
        <v>172.4</v>
      </c>
      <c r="AI73" s="106"/>
      <c r="AJ73" s="106"/>
      <c r="AK73" s="106">
        <f>'Pasture 12A'!E57</f>
        <v>1166.55</v>
      </c>
      <c r="AL73" s="106">
        <f>'Pasture 12B'!E57</f>
        <v>2098.66</v>
      </c>
      <c r="AM73" s="106"/>
      <c r="AN73" s="106"/>
      <c r="AO73" s="106"/>
      <c r="AP73" s="106">
        <f>'Pasture 15'!E53</f>
        <v>1707.4</v>
      </c>
      <c r="AQ73" s="106">
        <f>'Pasture 140'!E41</f>
        <v>62.28</v>
      </c>
      <c r="AS73" s="105">
        <v>1979</v>
      </c>
      <c r="AT73" s="111">
        <f t="shared" si="2"/>
        <v>19519.718999999997</v>
      </c>
      <c r="AU73" s="111">
        <v>21472.18</v>
      </c>
      <c r="AV73" s="111">
        <f t="shared" si="3"/>
        <v>90.907020153519568</v>
      </c>
    </row>
    <row r="74" spans="1:48" x14ac:dyDescent="0.3">
      <c r="A74" s="105">
        <v>1980</v>
      </c>
      <c r="B74" s="106">
        <v>316</v>
      </c>
      <c r="C74" s="106"/>
      <c r="D74" s="106">
        <v>1855</v>
      </c>
      <c r="E74" s="106">
        <f>'Pasture 2SW'!E67</f>
        <v>1341.04</v>
      </c>
      <c r="F74" s="106">
        <f>'UA Cell D'!E67</f>
        <v>315.63</v>
      </c>
      <c r="G74" s="106">
        <f>'UA Cell F'!E67</f>
        <v>314.77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>
        <f>'Pasture 3'!E61</f>
        <v>1661.6</v>
      </c>
      <c r="R74" s="106">
        <f>'Pasture 4'!E67</f>
        <v>269.97000000000003</v>
      </c>
      <c r="S74" s="106"/>
      <c r="T74" s="106">
        <f>'Pasture 5N'!E64</f>
        <v>2216.1</v>
      </c>
      <c r="U74" s="106"/>
      <c r="V74" s="106">
        <f>'Pasture 5S'!E64</f>
        <v>1902.5</v>
      </c>
      <c r="W74" s="106"/>
      <c r="X74" s="106">
        <f>'Pasture 6A'!E67</f>
        <v>1455.86</v>
      </c>
      <c r="Y74" s="106">
        <f>'Pasture 6B'!E67</f>
        <v>1479.89</v>
      </c>
      <c r="Z74" s="106">
        <f>'Pasture 6C'!E67</f>
        <v>172.899</v>
      </c>
      <c r="AA74" s="106"/>
      <c r="AB74" s="106"/>
      <c r="AC74" s="106">
        <f>'Pasture 8'!E68</f>
        <v>329.97</v>
      </c>
      <c r="AD74" s="106">
        <f>'Pasture 9'!E74</f>
        <v>361.6</v>
      </c>
      <c r="AE74" s="106">
        <f>'Pasture 10'!E74</f>
        <v>240.42</v>
      </c>
      <c r="AF74" s="106"/>
      <c r="AG74" s="106">
        <f>'Pasture 11A'!E61</f>
        <v>79.180000000000007</v>
      </c>
      <c r="AH74" s="106">
        <v>172.4</v>
      </c>
      <c r="AI74" s="106"/>
      <c r="AJ74" s="106"/>
      <c r="AK74" s="106">
        <f>'Pasture 12A'!E58</f>
        <v>1166.55</v>
      </c>
      <c r="AL74" s="106">
        <f>'Pasture 12B'!E58</f>
        <v>2098.66</v>
      </c>
      <c r="AM74" s="106"/>
      <c r="AN74" s="106"/>
      <c r="AO74" s="106"/>
      <c r="AP74" s="106">
        <f>'Pasture 15'!E54</f>
        <v>1707.4</v>
      </c>
      <c r="AQ74" s="106">
        <f>'Pasture 140'!E42</f>
        <v>62.28</v>
      </c>
      <c r="AS74" s="105">
        <v>1980</v>
      </c>
      <c r="AT74" s="111">
        <f t="shared" si="2"/>
        <v>19519.718999999997</v>
      </c>
      <c r="AU74" s="111">
        <v>21472.18</v>
      </c>
      <c r="AV74" s="111">
        <f t="shared" si="3"/>
        <v>90.907020153519568</v>
      </c>
    </row>
    <row r="75" spans="1:48" x14ac:dyDescent="0.3">
      <c r="A75" s="105">
        <v>1981</v>
      </c>
      <c r="B75" s="106">
        <v>316</v>
      </c>
      <c r="C75" s="106"/>
      <c r="D75" s="106">
        <v>1855</v>
      </c>
      <c r="E75" s="106">
        <f>'Pasture 2SW'!E68</f>
        <v>1341.04</v>
      </c>
      <c r="F75" s="106">
        <f>'UA Cell D'!E68</f>
        <v>315.63</v>
      </c>
      <c r="G75" s="106">
        <f>'UA Cell F'!E68</f>
        <v>314.77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>
        <f>'Pasture 3'!E62</f>
        <v>1661.6</v>
      </c>
      <c r="R75" s="106">
        <f>'Pasture 4'!E68</f>
        <v>269.97000000000003</v>
      </c>
      <c r="S75" s="106"/>
      <c r="T75" s="106">
        <f>'Pasture 5N'!E65</f>
        <v>2216.1</v>
      </c>
      <c r="U75" s="106"/>
      <c r="V75" s="106">
        <f>'Pasture 5S'!E65</f>
        <v>1902.5</v>
      </c>
      <c r="W75" s="106"/>
      <c r="X75" s="106">
        <f>'Pasture 6A'!E68</f>
        <v>1455.86</v>
      </c>
      <c r="Y75" s="106">
        <f>'Pasture 6B'!E68</f>
        <v>1479.89</v>
      </c>
      <c r="Z75" s="106">
        <f>'Pasture 6C'!E68</f>
        <v>172.899</v>
      </c>
      <c r="AA75" s="106"/>
      <c r="AB75" s="106"/>
      <c r="AC75" s="106">
        <f>'Pasture 8'!E69</f>
        <v>329.97</v>
      </c>
      <c r="AD75" s="106">
        <f>'Pasture 9'!E75</f>
        <v>361.6</v>
      </c>
      <c r="AE75" s="106">
        <f>'Pasture 10'!E75</f>
        <v>240.42</v>
      </c>
      <c r="AF75" s="106"/>
      <c r="AG75" s="106">
        <f>'Pasture 11A'!E62</f>
        <v>79.180000000000007</v>
      </c>
      <c r="AH75" s="106">
        <v>172.4</v>
      </c>
      <c r="AI75" s="106"/>
      <c r="AJ75" s="106"/>
      <c r="AK75" s="106">
        <f>'Pasture 12A'!E59</f>
        <v>1166.55</v>
      </c>
      <c r="AL75" s="106">
        <f>'Pasture 12B'!E59</f>
        <v>2098.66</v>
      </c>
      <c r="AM75" s="106"/>
      <c r="AN75" s="106"/>
      <c r="AO75" s="106"/>
      <c r="AP75" s="106">
        <f>'Pasture 15'!E55</f>
        <v>1707.4</v>
      </c>
      <c r="AQ75" s="106">
        <f>'Pasture 140'!E43</f>
        <v>62.28</v>
      </c>
      <c r="AS75" s="105">
        <v>1981</v>
      </c>
      <c r="AT75" s="111">
        <f t="shared" si="2"/>
        <v>19519.718999999997</v>
      </c>
      <c r="AU75" s="111">
        <v>21472.18</v>
      </c>
      <c r="AV75" s="111">
        <f t="shared" si="3"/>
        <v>90.907020153519568</v>
      </c>
    </row>
    <row r="76" spans="1:48" x14ac:dyDescent="0.3">
      <c r="A76" s="105">
        <v>1982</v>
      </c>
      <c r="B76" s="106">
        <v>316</v>
      </c>
      <c r="C76" s="106"/>
      <c r="D76" s="106">
        <f>'Pasture 2N'!E69</f>
        <v>1856.07</v>
      </c>
      <c r="E76" s="106">
        <f>'Pasture 2SW'!E69</f>
        <v>1341.04</v>
      </c>
      <c r="F76" s="106">
        <f>'UA Cell D'!E69</f>
        <v>315.63</v>
      </c>
      <c r="G76" s="106">
        <f>'UA Cell F'!E69</f>
        <v>314.77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>
        <f>'Pasture 3'!E63</f>
        <v>1661.6</v>
      </c>
      <c r="R76" s="106">
        <f>'Pasture 4'!E69</f>
        <v>269.97000000000003</v>
      </c>
      <c r="S76" s="106"/>
      <c r="T76" s="106">
        <f>'Pasture 5N'!E66</f>
        <v>2216.1</v>
      </c>
      <c r="U76" s="106"/>
      <c r="V76" s="106">
        <f>'Pasture 5S'!E66</f>
        <v>1902.5</v>
      </c>
      <c r="W76" s="106"/>
      <c r="X76" s="106">
        <f>'Pasture 6A'!E69</f>
        <v>1455.86</v>
      </c>
      <c r="Y76" s="106">
        <f>'Pasture 6B'!E69</f>
        <v>1479.89</v>
      </c>
      <c r="Z76" s="106">
        <f>'Pasture 6C'!E69</f>
        <v>172.899</v>
      </c>
      <c r="AA76" s="106"/>
      <c r="AB76" s="106"/>
      <c r="AC76" s="106">
        <f>'Pasture 8'!E70</f>
        <v>329.97</v>
      </c>
      <c r="AD76" s="106">
        <f>'Pasture 9'!E76</f>
        <v>361.6</v>
      </c>
      <c r="AE76" s="106">
        <f>'Pasture 10'!E76</f>
        <v>240.42</v>
      </c>
      <c r="AF76" s="106"/>
      <c r="AG76" s="106">
        <f>'Pasture 11A'!E63</f>
        <v>79.180000000000007</v>
      </c>
      <c r="AH76" s="106">
        <v>172.4</v>
      </c>
      <c r="AI76" s="106"/>
      <c r="AJ76" s="106"/>
      <c r="AK76" s="106">
        <f>'Pasture 12A'!E60</f>
        <v>1166.55</v>
      </c>
      <c r="AL76" s="106">
        <f>'Pasture 12B'!E60</f>
        <v>2098.66</v>
      </c>
      <c r="AM76" s="106"/>
      <c r="AN76" s="106"/>
      <c r="AO76" s="106"/>
      <c r="AP76" s="106">
        <f>'Pasture 15'!E56</f>
        <v>1707.4</v>
      </c>
      <c r="AQ76" s="106">
        <f>'Pasture 140'!E44</f>
        <v>62.28</v>
      </c>
      <c r="AS76" s="105">
        <v>1982</v>
      </c>
      <c r="AT76" s="111">
        <f t="shared" si="2"/>
        <v>19520.788999999997</v>
      </c>
      <c r="AU76" s="111">
        <v>21472.18</v>
      </c>
      <c r="AV76" s="111">
        <f t="shared" si="3"/>
        <v>90.912003345724543</v>
      </c>
    </row>
    <row r="77" spans="1:48" x14ac:dyDescent="0.3">
      <c r="A77" s="105">
        <v>1983</v>
      </c>
      <c r="B77" s="106">
        <v>316</v>
      </c>
      <c r="C77" s="106"/>
      <c r="D77" s="106">
        <f>'Pasture 2N'!E70</f>
        <v>1856.07</v>
      </c>
      <c r="E77" s="106">
        <f>'Pasture 2SW'!E70</f>
        <v>1341.04</v>
      </c>
      <c r="F77" s="106">
        <f>'UA Cell D'!E70</f>
        <v>315.63</v>
      </c>
      <c r="G77" s="106">
        <f>'UA Cell F'!E70</f>
        <v>314.77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>
        <f>'Pasture 3'!E64</f>
        <v>1661.6</v>
      </c>
      <c r="R77" s="106">
        <f>'Pasture 4'!E70</f>
        <v>269.97000000000003</v>
      </c>
      <c r="S77" s="106"/>
      <c r="T77" s="106">
        <f>'Pasture 5N'!E67</f>
        <v>2216.1</v>
      </c>
      <c r="U77" s="106"/>
      <c r="V77" s="106">
        <f>'Pasture 5S'!E67</f>
        <v>1902.5</v>
      </c>
      <c r="W77" s="106"/>
      <c r="X77" s="106">
        <f>'Pasture 6A'!E70</f>
        <v>1455.86</v>
      </c>
      <c r="Y77" s="106">
        <f>'Pasture 6B'!E70</f>
        <v>1479.89</v>
      </c>
      <c r="Z77" s="106">
        <f>'Pasture 6C'!E70</f>
        <v>172.899</v>
      </c>
      <c r="AA77" s="106"/>
      <c r="AB77" s="106"/>
      <c r="AC77" s="106">
        <f>'Pasture 8'!E71</f>
        <v>329.97</v>
      </c>
      <c r="AD77" s="106">
        <f>'Pasture 9'!E77</f>
        <v>361.6</v>
      </c>
      <c r="AE77" s="106">
        <f>'Pasture 10'!E77</f>
        <v>240.42</v>
      </c>
      <c r="AF77" s="106"/>
      <c r="AG77" s="106">
        <f>'Pasture 11A'!E64</f>
        <v>79.180000000000007</v>
      </c>
      <c r="AH77" s="106">
        <v>172.4</v>
      </c>
      <c r="AI77" s="106"/>
      <c r="AJ77" s="106"/>
      <c r="AK77" s="106">
        <f>'Pasture 12A'!E61</f>
        <v>402.85</v>
      </c>
      <c r="AL77" s="106">
        <f>'Pasture 12B'!E61</f>
        <v>2098.66</v>
      </c>
      <c r="AM77" s="106">
        <f>'Pasture 12C'!E61</f>
        <v>763.69</v>
      </c>
      <c r="AN77" s="106"/>
      <c r="AO77" s="106"/>
      <c r="AP77" s="106">
        <f>'Pasture 15'!E57</f>
        <v>1707.4</v>
      </c>
      <c r="AQ77" s="106">
        <f>'Pasture 140'!E45</f>
        <v>62.28</v>
      </c>
      <c r="AS77" s="105">
        <v>1983</v>
      </c>
      <c r="AT77" s="111">
        <f t="shared" si="2"/>
        <v>19520.778999999999</v>
      </c>
      <c r="AU77" s="111">
        <v>21472.18</v>
      </c>
      <c r="AV77" s="111">
        <f t="shared" si="3"/>
        <v>90.911956773834788</v>
      </c>
    </row>
    <row r="78" spans="1:48" x14ac:dyDescent="0.3">
      <c r="A78" s="105">
        <v>1984</v>
      </c>
      <c r="B78" s="106">
        <f>'Pasture 1'!E79</f>
        <v>316.62</v>
      </c>
      <c r="C78" s="106"/>
      <c r="D78" s="106">
        <f>'Pasture 2N'!E71</f>
        <v>1856.07</v>
      </c>
      <c r="E78" s="106">
        <f>'Pasture 2SW'!E71</f>
        <v>1341.04</v>
      </c>
      <c r="F78" s="106">
        <f>'UA Cell D'!E71</f>
        <v>315.63</v>
      </c>
      <c r="G78" s="106">
        <f>'UA Cell F'!E71</f>
        <v>314.77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>
        <f>'Pasture 3'!E65</f>
        <v>1661.6</v>
      </c>
      <c r="R78" s="106">
        <f>'Pasture 4'!E71</f>
        <v>269.97000000000003</v>
      </c>
      <c r="S78" s="106"/>
      <c r="T78" s="106">
        <f>'Pasture 5N'!E68</f>
        <v>2216.1</v>
      </c>
      <c r="U78" s="106"/>
      <c r="V78" s="106">
        <f>'Pasture 5S'!E68</f>
        <v>1902.5</v>
      </c>
      <c r="W78" s="106"/>
      <c r="X78" s="106">
        <f>'Pasture 6A'!E71</f>
        <v>1455.86</v>
      </c>
      <c r="Y78" s="106">
        <f>'Pasture 6B'!E71</f>
        <v>1479.89</v>
      </c>
      <c r="Z78" s="106">
        <f>'Pasture 6C'!E71</f>
        <v>172.899</v>
      </c>
      <c r="AA78" s="106"/>
      <c r="AB78" s="106"/>
      <c r="AC78" s="106">
        <f>'Pasture 8'!E72</f>
        <v>329.97</v>
      </c>
      <c r="AD78" s="106">
        <f>'Pasture 9'!E78</f>
        <v>361.6</v>
      </c>
      <c r="AE78" s="106">
        <f>'Pasture 10'!E78</f>
        <v>240.42</v>
      </c>
      <c r="AF78" s="106"/>
      <c r="AG78" s="106">
        <f>'Pasture 11A'!E65</f>
        <v>79.180000000000007</v>
      </c>
      <c r="AH78" s="106">
        <f>'Pasture 11B'!E65</f>
        <v>172.4</v>
      </c>
      <c r="AI78" s="106"/>
      <c r="AJ78" s="106"/>
      <c r="AK78" s="106">
        <f>'Pasture 12A'!E62</f>
        <v>402.85</v>
      </c>
      <c r="AL78" s="106">
        <f>'Pasture 12B'!E62</f>
        <v>2098.66</v>
      </c>
      <c r="AM78" s="106">
        <f>'Pasture 12C'!E62</f>
        <v>763.69</v>
      </c>
      <c r="AN78" s="106"/>
      <c r="AO78" s="106"/>
      <c r="AP78" s="106">
        <f>'Pasture 15'!E58</f>
        <v>1707.4</v>
      </c>
      <c r="AQ78" s="106">
        <f>'Pasture 140'!E46</f>
        <v>62.28</v>
      </c>
      <c r="AS78" s="105">
        <v>1984</v>
      </c>
      <c r="AT78" s="111">
        <f t="shared" si="2"/>
        <v>19521.398999999998</v>
      </c>
      <c r="AU78" s="111">
        <v>21472.18</v>
      </c>
      <c r="AV78" s="111">
        <f t="shared" si="3"/>
        <v>90.914844231000288</v>
      </c>
    </row>
    <row r="79" spans="1:48" x14ac:dyDescent="0.3">
      <c r="A79" s="105">
        <v>1985</v>
      </c>
      <c r="B79" s="106">
        <f>'Pasture 1'!E80</f>
        <v>316.62</v>
      </c>
      <c r="C79" s="106"/>
      <c r="D79" s="106">
        <f>'Pasture 2N'!E72</f>
        <v>1856.07</v>
      </c>
      <c r="E79" s="106">
        <f>'Pasture 2SW'!E72</f>
        <v>1341.04</v>
      </c>
      <c r="F79" s="106">
        <f>'UA Cell D'!E72</f>
        <v>315.63</v>
      </c>
      <c r="G79" s="106">
        <f>'UA Cell F'!E72</f>
        <v>314.77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>
        <f>'Pasture 3'!E66</f>
        <v>1661.6</v>
      </c>
      <c r="R79" s="106">
        <f>'Pasture 4'!E72</f>
        <v>269.97000000000003</v>
      </c>
      <c r="S79" s="106"/>
      <c r="T79" s="106">
        <f>'Pasture 5N'!E69</f>
        <v>2216.1</v>
      </c>
      <c r="U79" s="106"/>
      <c r="V79" s="106">
        <f>'Pasture 5S'!E69</f>
        <v>1902.5</v>
      </c>
      <c r="W79" s="106"/>
      <c r="X79" s="106">
        <f>'Pasture 6A'!E72</f>
        <v>1455.86</v>
      </c>
      <c r="Y79" s="106">
        <f>'Pasture 6B'!E72</f>
        <v>1479.89</v>
      </c>
      <c r="Z79" s="106">
        <f>'Pasture 6C'!E72</f>
        <v>172.899</v>
      </c>
      <c r="AA79" s="106"/>
      <c r="AB79" s="106"/>
      <c r="AC79" s="106">
        <f>'Pasture 8'!E73</f>
        <v>329.97</v>
      </c>
      <c r="AD79" s="106">
        <f>'Pasture 9'!E79</f>
        <v>361.6</v>
      </c>
      <c r="AE79" s="106">
        <f>'Pasture 10'!E79</f>
        <v>240.42</v>
      </c>
      <c r="AF79" s="106"/>
      <c r="AG79" s="106">
        <f>'Pasture 11A'!E66</f>
        <v>79.180000000000007</v>
      </c>
      <c r="AH79" s="106">
        <f>'Pasture 11B'!E66</f>
        <v>172.4</v>
      </c>
      <c r="AI79" s="106"/>
      <c r="AJ79" s="106"/>
      <c r="AK79" s="106">
        <f>'Pasture 12A'!E63</f>
        <v>402.85</v>
      </c>
      <c r="AL79" s="106">
        <f>'Pasture 12B'!E63</f>
        <v>2098.66</v>
      </c>
      <c r="AM79" s="106">
        <f>'Pasture 12C'!E63</f>
        <v>763.69</v>
      </c>
      <c r="AN79" s="106"/>
      <c r="AO79" s="106"/>
      <c r="AP79" s="106">
        <f>'Pasture 15'!E59</f>
        <v>1707.4</v>
      </c>
      <c r="AQ79" s="106">
        <f>'Pasture 140'!E47</f>
        <v>62.28</v>
      </c>
      <c r="AS79" s="105">
        <v>1985</v>
      </c>
      <c r="AT79" s="111">
        <f t="shared" si="2"/>
        <v>19521.398999999998</v>
      </c>
      <c r="AU79" s="111">
        <v>21472.18</v>
      </c>
      <c r="AV79" s="111">
        <f t="shared" si="3"/>
        <v>90.914844231000288</v>
      </c>
    </row>
    <row r="80" spans="1:48" x14ac:dyDescent="0.3">
      <c r="A80" s="105">
        <v>1986</v>
      </c>
      <c r="B80" s="106">
        <f>'Pasture 1'!E81</f>
        <v>316.62</v>
      </c>
      <c r="C80" s="106"/>
      <c r="D80" s="106">
        <f>'Pasture 2N'!E73</f>
        <v>1856.07</v>
      </c>
      <c r="E80" s="106">
        <f>'Pasture 2SW'!E73</f>
        <v>1341.04</v>
      </c>
      <c r="F80" s="106">
        <f>'UA Cell D'!E73</f>
        <v>315.63</v>
      </c>
      <c r="G80" s="106">
        <f>'UA Cell F'!E73</f>
        <v>314.77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>
        <f>'Pasture 3'!E67</f>
        <v>1661.6</v>
      </c>
      <c r="R80" s="106">
        <f>'Pasture 4'!E73</f>
        <v>269.97000000000003</v>
      </c>
      <c r="S80" s="106"/>
      <c r="T80" s="106">
        <f>'Pasture 5N'!E70</f>
        <v>2216.1</v>
      </c>
      <c r="U80" s="106"/>
      <c r="V80" s="106">
        <f>'Pasture 5S'!E70</f>
        <v>1902.5</v>
      </c>
      <c r="W80" s="106"/>
      <c r="X80" s="106">
        <f>'Pasture 6A'!E73</f>
        <v>1455.86</v>
      </c>
      <c r="Y80" s="106">
        <f>'Pasture 6B'!E73</f>
        <v>679</v>
      </c>
      <c r="Z80" s="106">
        <f>'Pasture 6C'!E73</f>
        <v>172.899</v>
      </c>
      <c r="AA80" s="106">
        <f>'Pasture 6D'!E73</f>
        <v>800.89</v>
      </c>
      <c r="AB80" s="106"/>
      <c r="AC80" s="106">
        <f>'Pasture 8'!E74</f>
        <v>329.97</v>
      </c>
      <c r="AD80" s="106">
        <f>'Pasture 9'!E80</f>
        <v>361.6</v>
      </c>
      <c r="AE80" s="106">
        <f>'Pasture 10'!E80</f>
        <v>240.42</v>
      </c>
      <c r="AF80" s="106"/>
      <c r="AG80" s="106">
        <f>'Pasture 11A'!E67</f>
        <v>79.180000000000007</v>
      </c>
      <c r="AH80" s="106">
        <f>'Pasture 11B'!E67</f>
        <v>172.4</v>
      </c>
      <c r="AI80" s="106"/>
      <c r="AJ80" s="106"/>
      <c r="AK80" s="106">
        <f>'Pasture 12A'!E64</f>
        <v>402.85</v>
      </c>
      <c r="AL80" s="106">
        <f>'Pasture 12B'!E64</f>
        <v>2098.66</v>
      </c>
      <c r="AM80" s="106">
        <f>'Pasture 12C'!E64</f>
        <v>763.69</v>
      </c>
      <c r="AN80" s="106"/>
      <c r="AO80" s="106"/>
      <c r="AP80" s="106">
        <f>'Pasture 15'!E60</f>
        <v>1707.4</v>
      </c>
      <c r="AQ80" s="106">
        <f>'Pasture 140'!E48</f>
        <v>62.28</v>
      </c>
      <c r="AS80" s="105">
        <v>1986</v>
      </c>
      <c r="AT80" s="111">
        <f t="shared" si="2"/>
        <v>19521.398999999998</v>
      </c>
      <c r="AU80" s="111">
        <v>21472.18</v>
      </c>
      <c r="AV80" s="111">
        <f t="shared" si="3"/>
        <v>90.914844231000288</v>
      </c>
    </row>
    <row r="81" spans="1:48" x14ac:dyDescent="0.3">
      <c r="A81" s="105">
        <v>1987</v>
      </c>
      <c r="B81" s="106">
        <f>'Pasture 1'!E82</f>
        <v>316.62</v>
      </c>
      <c r="C81" s="106"/>
      <c r="D81" s="106">
        <f>'Pasture 2N'!E74</f>
        <v>1856.07</v>
      </c>
      <c r="E81" s="106">
        <f>'Pasture 2SW'!E74</f>
        <v>1341.04</v>
      </c>
      <c r="F81" s="106">
        <f>'UA Cell D'!E74</f>
        <v>315.63</v>
      </c>
      <c r="G81" s="106">
        <f>'UA Cell F'!E74</f>
        <v>314.77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>
        <f>'Pasture 3'!E68</f>
        <v>1661.6</v>
      </c>
      <c r="R81" s="106">
        <f>'Pasture 4'!E74</f>
        <v>269.97000000000003</v>
      </c>
      <c r="S81" s="106"/>
      <c r="T81" s="106">
        <f>'Pasture 5N'!E71</f>
        <v>2216.1</v>
      </c>
      <c r="U81" s="106"/>
      <c r="V81" s="106">
        <f>'Pasture 5S'!E71</f>
        <v>1902.5</v>
      </c>
      <c r="W81" s="106"/>
      <c r="X81" s="106">
        <f>'Pasture 6A'!E74</f>
        <v>1087.27</v>
      </c>
      <c r="Y81" s="106">
        <f>'Pasture 6B'!E74</f>
        <v>679</v>
      </c>
      <c r="Z81" s="106">
        <f>'Pasture 6C'!E74</f>
        <v>172.899</v>
      </c>
      <c r="AA81" s="106">
        <f>'Pasture 6D'!E74</f>
        <v>800.89</v>
      </c>
      <c r="AB81" s="106">
        <f>'Pasture 6E'!E74</f>
        <v>368.59</v>
      </c>
      <c r="AC81" s="106">
        <f>'Pasture 8'!E75</f>
        <v>329.97</v>
      </c>
      <c r="AD81" s="106">
        <f>'Pasture 9'!E81</f>
        <v>361.6</v>
      </c>
      <c r="AE81" s="106">
        <f>'Pasture 10'!E81</f>
        <v>240.42</v>
      </c>
      <c r="AF81" s="106"/>
      <c r="AG81" s="106">
        <f>'Pasture 11A'!E68</f>
        <v>79.180000000000007</v>
      </c>
      <c r="AH81" s="106">
        <f>'Pasture 11B'!E68</f>
        <v>172.4</v>
      </c>
      <c r="AI81" s="106"/>
      <c r="AJ81" s="106"/>
      <c r="AK81" s="106">
        <f>'Pasture 12A'!E65</f>
        <v>402.85</v>
      </c>
      <c r="AL81" s="106">
        <f>'Pasture 12B'!E65</f>
        <v>1664.81</v>
      </c>
      <c r="AM81" s="106">
        <f>'Pasture 12C'!E65</f>
        <v>763.69</v>
      </c>
      <c r="AN81" s="106">
        <f>'Pasture 12D'!E65</f>
        <v>433.85</v>
      </c>
      <c r="AO81" s="106"/>
      <c r="AP81" s="106">
        <f>'Pasture 15'!E61</f>
        <v>1707.4</v>
      </c>
      <c r="AQ81" s="106">
        <f>'Pasture 140'!E49</f>
        <v>62.28</v>
      </c>
      <c r="AS81" s="105">
        <v>1987</v>
      </c>
      <c r="AT81" s="111">
        <f t="shared" si="2"/>
        <v>19521.398999999998</v>
      </c>
      <c r="AU81" s="111">
        <v>21472.18</v>
      </c>
      <c r="AV81" s="111">
        <f t="shared" si="3"/>
        <v>90.914844231000288</v>
      </c>
    </row>
    <row r="82" spans="1:48" x14ac:dyDescent="0.3">
      <c r="A82" s="105">
        <v>1988</v>
      </c>
      <c r="B82" s="106">
        <f>'Pasture 1'!E83</f>
        <v>316.62</v>
      </c>
      <c r="C82" s="106"/>
      <c r="D82" s="106">
        <f>'Pasture 2N'!E75</f>
        <v>1856.07</v>
      </c>
      <c r="E82" s="106">
        <f>'Pasture 2SW'!E75</f>
        <v>1341.04</v>
      </c>
      <c r="F82" s="106">
        <f>'UA Cell D'!E75</f>
        <v>315.63</v>
      </c>
      <c r="G82" s="106">
        <f>'UA Cell F'!E75</f>
        <v>314.77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>
        <f>'Pasture 3'!E69</f>
        <v>1661.6</v>
      </c>
      <c r="R82" s="106">
        <f>'Pasture 4'!E75</f>
        <v>269.97000000000003</v>
      </c>
      <c r="S82" s="106"/>
      <c r="T82" s="106">
        <f>'Pasture 5N'!E72</f>
        <v>2216.1</v>
      </c>
      <c r="U82" s="106"/>
      <c r="V82" s="106">
        <f>'Pasture 5S'!E72</f>
        <v>1902.5</v>
      </c>
      <c r="W82" s="106"/>
      <c r="X82" s="106">
        <f>'Pasture 6A'!E75</f>
        <v>1087.27</v>
      </c>
      <c r="Y82" s="106">
        <f>'Pasture 6B'!E75</f>
        <v>679</v>
      </c>
      <c r="Z82" s="106">
        <f>'Pasture 6C'!E75</f>
        <v>172.899</v>
      </c>
      <c r="AA82" s="106">
        <f>'Pasture 6D'!E75</f>
        <v>800.89</v>
      </c>
      <c r="AB82" s="106">
        <f>'Pasture 6E'!E75</f>
        <v>368.59</v>
      </c>
      <c r="AC82" s="106">
        <f>'Pasture 8'!E76</f>
        <v>329.97</v>
      </c>
      <c r="AD82" s="106">
        <f>'Pasture 9'!E82</f>
        <v>361.6</v>
      </c>
      <c r="AE82" s="106">
        <f>'Pasture 10'!E82</f>
        <v>240.42</v>
      </c>
      <c r="AF82" s="106"/>
      <c r="AG82" s="106">
        <f>'Pasture 11A'!E69</f>
        <v>79.180000000000007</v>
      </c>
      <c r="AH82" s="106">
        <f>'Pasture 11B'!E69</f>
        <v>172.4</v>
      </c>
      <c r="AI82" s="106"/>
      <c r="AJ82" s="106"/>
      <c r="AK82" s="106">
        <f>'Pasture 12A'!E66</f>
        <v>402.85</v>
      </c>
      <c r="AL82" s="106">
        <f>'Pasture 12B'!E66</f>
        <v>1664.81</v>
      </c>
      <c r="AM82" s="106">
        <f>'Pasture 12C'!E66</f>
        <v>763.69</v>
      </c>
      <c r="AN82" s="106">
        <f>'Pasture 12D'!E66</f>
        <v>433.85</v>
      </c>
      <c r="AO82" s="106"/>
      <c r="AP82" s="106">
        <f>'Pasture 15'!E62</f>
        <v>1707.4</v>
      </c>
      <c r="AQ82" s="106">
        <f>'Pasture 140'!E50</f>
        <v>62.28</v>
      </c>
      <c r="AS82" s="105">
        <v>1988</v>
      </c>
      <c r="AT82" s="111">
        <f t="shared" si="2"/>
        <v>19521.398999999998</v>
      </c>
      <c r="AU82" s="111">
        <v>21472.18</v>
      </c>
      <c r="AV82" s="111">
        <f t="shared" si="3"/>
        <v>90.914844231000288</v>
      </c>
    </row>
    <row r="83" spans="1:48" x14ac:dyDescent="0.3">
      <c r="A83" s="105">
        <v>1989</v>
      </c>
      <c r="B83" s="106">
        <f>'Pasture 1'!E84</f>
        <v>316.62</v>
      </c>
      <c r="C83" s="106"/>
      <c r="D83" s="106">
        <f>'Pasture 2N'!E76</f>
        <v>1856.07</v>
      </c>
      <c r="E83" s="106">
        <f>'Pasture 2SW'!E76</f>
        <v>1341.04</v>
      </c>
      <c r="F83" s="106">
        <f>'UA Cell D'!E76</f>
        <v>315.63</v>
      </c>
      <c r="G83" s="106">
        <f>'UA Cell F'!E76</f>
        <v>314.77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>
        <f>'Pasture 3'!E70</f>
        <v>1661.6</v>
      </c>
      <c r="R83" s="106">
        <f>'Pasture 4'!E76</f>
        <v>269.97000000000003</v>
      </c>
      <c r="S83" s="106"/>
      <c r="T83" s="106">
        <f>'Pasture 5N'!E73</f>
        <v>2216.1</v>
      </c>
      <c r="U83" s="106"/>
      <c r="V83" s="106">
        <f>'Pasture 5S'!E73</f>
        <v>1902.5</v>
      </c>
      <c r="W83" s="106"/>
      <c r="X83" s="106">
        <f>'Pasture 6A'!E76</f>
        <v>1087.27</v>
      </c>
      <c r="Y83" s="106">
        <f>'Pasture 6B'!E76</f>
        <v>679</v>
      </c>
      <c r="Z83" s="106">
        <f>'Pasture 6C'!E76</f>
        <v>172.899</v>
      </c>
      <c r="AA83" s="106">
        <f>'Pasture 6D'!E76</f>
        <v>800.89</v>
      </c>
      <c r="AB83" s="106">
        <f>'Pasture 6E'!E76</f>
        <v>368.59</v>
      </c>
      <c r="AC83" s="106">
        <f>'Pasture 8'!E77</f>
        <v>329.97</v>
      </c>
      <c r="AD83" s="106">
        <f>'Pasture 9'!E83</f>
        <v>361.6</v>
      </c>
      <c r="AE83" s="106">
        <f>'Pasture 10'!E83</f>
        <v>240.42</v>
      </c>
      <c r="AF83" s="106"/>
      <c r="AG83" s="106">
        <f>'Pasture 11A'!E70</f>
        <v>79.180000000000007</v>
      </c>
      <c r="AH83" s="106">
        <f>'Pasture 11B'!E70</f>
        <v>172.4</v>
      </c>
      <c r="AI83" s="106"/>
      <c r="AJ83" s="106"/>
      <c r="AK83" s="106">
        <f>'Pasture 12A'!E67</f>
        <v>402.85</v>
      </c>
      <c r="AL83" s="106">
        <f>'Pasture 12B'!E67</f>
        <v>1664.81</v>
      </c>
      <c r="AM83" s="106">
        <f>'Pasture 12C'!E67</f>
        <v>763.69</v>
      </c>
      <c r="AN83" s="106">
        <f>'Pasture 12D'!E67</f>
        <v>433.85</v>
      </c>
      <c r="AO83" s="106"/>
      <c r="AP83" s="106">
        <f>'Pasture 15'!E63</f>
        <v>1707.4</v>
      </c>
      <c r="AQ83" s="106">
        <f>'Pasture 140'!E51</f>
        <v>62.28</v>
      </c>
      <c r="AS83" s="105">
        <v>1989</v>
      </c>
      <c r="AT83" s="111">
        <f t="shared" si="2"/>
        <v>19521.398999999998</v>
      </c>
      <c r="AU83" s="111">
        <v>21472.18</v>
      </c>
      <c r="AV83" s="111">
        <f t="shared" si="3"/>
        <v>90.914844231000288</v>
      </c>
    </row>
    <row r="84" spans="1:48" x14ac:dyDescent="0.3">
      <c r="A84" s="105">
        <v>1990</v>
      </c>
      <c r="B84" s="106">
        <f>'Pasture 1'!E85</f>
        <v>316.62</v>
      </c>
      <c r="C84" s="106"/>
      <c r="D84" s="106">
        <f>'Pasture 2N'!E77</f>
        <v>1856.07</v>
      </c>
      <c r="E84" s="106">
        <f>'Pasture 2SW'!E77</f>
        <v>562.26</v>
      </c>
      <c r="F84" s="106"/>
      <c r="G84" s="106"/>
      <c r="H84" s="106">
        <f>'UA Cell A'!E77</f>
        <v>1409.17</v>
      </c>
      <c r="I84" s="106"/>
      <c r="J84" s="106"/>
      <c r="K84" s="106"/>
      <c r="L84" s="106"/>
      <c r="M84" s="106"/>
      <c r="N84" s="106"/>
      <c r="O84" s="106"/>
      <c r="P84" s="106"/>
      <c r="Q84" s="106">
        <f>'Pasture 3'!E71</f>
        <v>1661.6</v>
      </c>
      <c r="R84" s="106">
        <f>'Pasture 4'!E77</f>
        <v>269.97000000000003</v>
      </c>
      <c r="S84" s="106"/>
      <c r="T84" s="106">
        <f>'Pasture 5N'!E74</f>
        <v>2216.1</v>
      </c>
      <c r="U84" s="106"/>
      <c r="V84" s="106">
        <f>'Pasture 5S'!E74</f>
        <v>1902.5</v>
      </c>
      <c r="W84" s="106"/>
      <c r="X84" s="106">
        <f>'Pasture 6A'!E77</f>
        <v>1087.27</v>
      </c>
      <c r="Y84" s="106">
        <f>'Pasture 6B'!E77</f>
        <v>679</v>
      </c>
      <c r="Z84" s="106">
        <f>'Pasture 6C'!E77</f>
        <v>172.899</v>
      </c>
      <c r="AA84" s="106">
        <f>'Pasture 6D'!E77</f>
        <v>800.89</v>
      </c>
      <c r="AB84" s="106">
        <f>'Pasture 6E'!E77</f>
        <v>368.59</v>
      </c>
      <c r="AC84" s="106">
        <f>'Pasture 8'!E78</f>
        <v>329.97</v>
      </c>
      <c r="AD84" s="106">
        <f>'Pasture 9'!E84</f>
        <v>361.6</v>
      </c>
      <c r="AE84" s="106">
        <f>'Pasture 10'!E84</f>
        <v>240.42</v>
      </c>
      <c r="AF84" s="106"/>
      <c r="AG84" s="106">
        <f>'Pasture 11A'!E71</f>
        <v>79.180000000000007</v>
      </c>
      <c r="AH84" s="106">
        <f>'Pasture 11B'!E71</f>
        <v>172.4</v>
      </c>
      <c r="AI84" s="106"/>
      <c r="AJ84" s="106"/>
      <c r="AK84" s="106">
        <f>'Pasture 12A'!E68</f>
        <v>402.85</v>
      </c>
      <c r="AL84" s="106">
        <f>'Pasture 12B'!E68</f>
        <v>1664.81</v>
      </c>
      <c r="AM84" s="106">
        <f>'Pasture 12C'!E68</f>
        <v>763.69</v>
      </c>
      <c r="AN84" s="106">
        <f>'Pasture 12D'!E68</f>
        <v>433.85</v>
      </c>
      <c r="AO84" s="106"/>
      <c r="AP84" s="106">
        <f>'Pasture 15'!E64</f>
        <v>1707.4</v>
      </c>
      <c r="AQ84" s="106">
        <f>'Pasture 140'!E52</f>
        <v>62.28</v>
      </c>
      <c r="AS84" s="105">
        <v>1990</v>
      </c>
      <c r="AT84" s="111">
        <f t="shared" si="2"/>
        <v>19521.388999999996</v>
      </c>
      <c r="AU84" s="111">
        <v>21472.18</v>
      </c>
      <c r="AV84" s="111">
        <f t="shared" si="3"/>
        <v>90.914797659110519</v>
      </c>
    </row>
    <row r="85" spans="1:48" x14ac:dyDescent="0.3">
      <c r="A85" s="105">
        <v>1991</v>
      </c>
      <c r="B85" s="106">
        <f>'Pasture 1'!E86</f>
        <v>316.62</v>
      </c>
      <c r="C85" s="106"/>
      <c r="D85" s="106">
        <f>'Pasture 2N'!E78</f>
        <v>1856.07</v>
      </c>
      <c r="E85" s="106">
        <f>'Pasture 2SW'!E78</f>
        <v>562.26</v>
      </c>
      <c r="F85" s="106"/>
      <c r="G85" s="106"/>
      <c r="H85" s="106">
        <f>'UA Cell A'!E78</f>
        <v>1409.17</v>
      </c>
      <c r="I85" s="106"/>
      <c r="J85" s="106"/>
      <c r="K85" s="106"/>
      <c r="L85" s="106"/>
      <c r="M85" s="106"/>
      <c r="N85" s="106"/>
      <c r="O85" s="106"/>
      <c r="P85" s="106"/>
      <c r="Q85" s="106">
        <f>'Pasture 3'!E72</f>
        <v>1661.6</v>
      </c>
      <c r="R85" s="106">
        <f>'Pasture 4'!E78</f>
        <v>269.97000000000003</v>
      </c>
      <c r="S85" s="106"/>
      <c r="T85" s="106">
        <f>'Pasture 5N'!E75</f>
        <v>2216.1</v>
      </c>
      <c r="U85" s="106"/>
      <c r="V85" s="106">
        <f>'Pasture 5S'!E75</f>
        <v>1902.5</v>
      </c>
      <c r="W85" s="106"/>
      <c r="X85" s="106">
        <f>'Pasture 6A'!E78</f>
        <v>1087.27</v>
      </c>
      <c r="Y85" s="106">
        <f>'Pasture 6B'!E78</f>
        <v>679</v>
      </c>
      <c r="Z85" s="106">
        <f>'Pasture 6C'!E78</f>
        <v>172.899</v>
      </c>
      <c r="AA85" s="106">
        <f>'Pasture 6D'!E78</f>
        <v>800.89</v>
      </c>
      <c r="AB85" s="106">
        <f>'Pasture 6E'!E78</f>
        <v>368.59</v>
      </c>
      <c r="AC85" s="106">
        <f>'Pasture 8'!E79</f>
        <v>329.97</v>
      </c>
      <c r="AD85" s="106">
        <f>'Pasture 9'!E85</f>
        <v>361.6</v>
      </c>
      <c r="AE85" s="106">
        <f>'Pasture 10'!E85</f>
        <v>240.42</v>
      </c>
      <c r="AF85" s="106"/>
      <c r="AG85" s="106">
        <f>'Pasture 11A'!E72</f>
        <v>79.180000000000007</v>
      </c>
      <c r="AH85" s="106">
        <f>'Pasture 11B'!E72</f>
        <v>172.4</v>
      </c>
      <c r="AI85" s="106"/>
      <c r="AJ85" s="106"/>
      <c r="AK85" s="106">
        <f>'Pasture 12A'!E69</f>
        <v>402.85</v>
      </c>
      <c r="AL85" s="106">
        <f>'Pasture 12B'!E69</f>
        <v>1664.81</v>
      </c>
      <c r="AM85" s="106">
        <f>'Pasture 12C'!E69</f>
        <v>763.69</v>
      </c>
      <c r="AN85" s="106">
        <f>'Pasture 12D'!E69</f>
        <v>433.85</v>
      </c>
      <c r="AO85" s="106"/>
      <c r="AP85" s="106">
        <f>'Pasture 15'!E65</f>
        <v>1707.4</v>
      </c>
      <c r="AQ85" s="106">
        <f>'Pasture 140'!E53</f>
        <v>62.28</v>
      </c>
      <c r="AS85" s="105">
        <v>1991</v>
      </c>
      <c r="AT85" s="111">
        <f t="shared" si="2"/>
        <v>19521.388999999996</v>
      </c>
      <c r="AU85" s="111">
        <v>21472.18</v>
      </c>
      <c r="AV85" s="111">
        <f t="shared" si="3"/>
        <v>90.914797659110519</v>
      </c>
    </row>
    <row r="86" spans="1:48" x14ac:dyDescent="0.3">
      <c r="A86" s="105">
        <v>1992</v>
      </c>
      <c r="B86" s="106">
        <f>'Pasture 1'!E87</f>
        <v>316.62</v>
      </c>
      <c r="C86" s="106"/>
      <c r="D86" s="106">
        <f>'Pasture 2N'!E79</f>
        <v>1856.07</v>
      </c>
      <c r="E86" s="106">
        <f>'Pasture 2SW'!E79</f>
        <v>562.26</v>
      </c>
      <c r="F86" s="106"/>
      <c r="G86" s="106"/>
      <c r="H86" s="106">
        <f>'UA Cell A'!E79</f>
        <v>1409.17</v>
      </c>
      <c r="I86" s="106"/>
      <c r="J86" s="106"/>
      <c r="K86" s="106"/>
      <c r="L86" s="106"/>
      <c r="M86" s="106"/>
      <c r="N86" s="106"/>
      <c r="O86" s="106"/>
      <c r="P86" s="106"/>
      <c r="Q86" s="106">
        <f>'Pasture 3'!E73</f>
        <v>1661.6</v>
      </c>
      <c r="R86" s="106">
        <f>'Pasture 4'!E79</f>
        <v>269.97000000000003</v>
      </c>
      <c r="S86" s="106"/>
      <c r="T86" s="106">
        <f>'Pasture 5N'!E76</f>
        <v>2216.1</v>
      </c>
      <c r="U86" s="106"/>
      <c r="V86" s="106">
        <f>'Pasture 5S'!E76</f>
        <v>1902.5</v>
      </c>
      <c r="W86" s="106"/>
      <c r="X86" s="106">
        <f>'Pasture 6A'!E79</f>
        <v>1087.27</v>
      </c>
      <c r="Y86" s="106">
        <f>'Pasture 6B'!E79</f>
        <v>679</v>
      </c>
      <c r="Z86" s="106">
        <f>'Pasture 6C'!E79</f>
        <v>172.899</v>
      </c>
      <c r="AA86" s="106">
        <f>'Pasture 6D'!E79</f>
        <v>800.89</v>
      </c>
      <c r="AB86" s="106">
        <f>'Pasture 6E'!E79</f>
        <v>368.59</v>
      </c>
      <c r="AC86" s="106">
        <f>'Pasture 8'!E80</f>
        <v>329.97</v>
      </c>
      <c r="AD86" s="106">
        <f>'Pasture 9'!E86</f>
        <v>361.6</v>
      </c>
      <c r="AE86" s="106">
        <f>'Pasture 10'!E86</f>
        <v>240.42</v>
      </c>
      <c r="AF86" s="106"/>
      <c r="AG86" s="106">
        <f>'Pasture 11A'!E73</f>
        <v>79.180000000000007</v>
      </c>
      <c r="AH86" s="106">
        <f>'Pasture 11B'!E73</f>
        <v>172.4</v>
      </c>
      <c r="AI86" s="106"/>
      <c r="AJ86" s="106"/>
      <c r="AK86" s="106">
        <f>'Pasture 12A'!E70</f>
        <v>402.85</v>
      </c>
      <c r="AL86" s="106">
        <f>'Pasture 12B'!E70</f>
        <v>1664.81</v>
      </c>
      <c r="AM86" s="106">
        <f>'Pasture 12C'!E70</f>
        <v>763.69</v>
      </c>
      <c r="AN86" s="106">
        <f>'Pasture 12D'!E70</f>
        <v>433.85</v>
      </c>
      <c r="AO86" s="106"/>
      <c r="AP86" s="106">
        <f>'Pasture 15'!E66</f>
        <v>1707.4</v>
      </c>
      <c r="AQ86" s="106">
        <f>'Pasture 140'!E54</f>
        <v>62.28</v>
      </c>
      <c r="AS86" s="105">
        <v>1992</v>
      </c>
      <c r="AT86" s="111">
        <f t="shared" si="2"/>
        <v>19521.388999999996</v>
      </c>
      <c r="AU86" s="111">
        <v>21472.18</v>
      </c>
      <c r="AV86" s="111">
        <f t="shared" si="3"/>
        <v>90.914797659110519</v>
      </c>
    </row>
    <row r="87" spans="1:48" x14ac:dyDescent="0.3">
      <c r="A87" s="105">
        <v>1993</v>
      </c>
      <c r="B87" s="106">
        <f>'Pasture 1'!E88</f>
        <v>316.62</v>
      </c>
      <c r="C87" s="106"/>
      <c r="D87" s="106">
        <f>'Pasture 2N'!E80</f>
        <v>1856.07</v>
      </c>
      <c r="E87" s="106">
        <f>'Pasture 2SW'!E80</f>
        <v>562.26</v>
      </c>
      <c r="F87" s="106"/>
      <c r="G87" s="106"/>
      <c r="H87" s="106">
        <f>'UA Cell A'!E80</f>
        <v>1409.17</v>
      </c>
      <c r="I87" s="106"/>
      <c r="J87" s="106"/>
      <c r="K87" s="106"/>
      <c r="L87" s="106"/>
      <c r="M87" s="106"/>
      <c r="N87" s="106"/>
      <c r="O87" s="106"/>
      <c r="P87" s="106"/>
      <c r="Q87" s="106">
        <f>'Pasture 3'!E74</f>
        <v>1661.6</v>
      </c>
      <c r="R87" s="106">
        <f>'Pasture 4'!E80</f>
        <v>269.97000000000003</v>
      </c>
      <c r="S87" s="106"/>
      <c r="T87" s="106">
        <f>'Pasture 5N'!E77</f>
        <v>2216.1</v>
      </c>
      <c r="U87" s="106"/>
      <c r="V87" s="106">
        <f>'Pasture 5S'!E77</f>
        <v>1902.5</v>
      </c>
      <c r="W87" s="106"/>
      <c r="X87" s="106">
        <f>'Pasture 6A'!E80</f>
        <v>1087.27</v>
      </c>
      <c r="Y87" s="106">
        <f>'Pasture 6B'!E80</f>
        <v>679</v>
      </c>
      <c r="Z87" s="106">
        <f>'Pasture 6C'!E80</f>
        <v>172.899</v>
      </c>
      <c r="AA87" s="106">
        <f>'Pasture 6D'!E80</f>
        <v>800.89</v>
      </c>
      <c r="AB87" s="106">
        <f>'Pasture 6E'!E80</f>
        <v>368.59</v>
      </c>
      <c r="AC87" s="106">
        <f>'Pasture 8'!E81</f>
        <v>329.97</v>
      </c>
      <c r="AD87" s="106">
        <f>'Pasture 9'!E87</f>
        <v>361.6</v>
      </c>
      <c r="AE87" s="106">
        <f>'Pasture 10'!E87</f>
        <v>240.42</v>
      </c>
      <c r="AF87" s="106"/>
      <c r="AG87" s="106">
        <f>'Pasture 11A'!E74</f>
        <v>79.180000000000007</v>
      </c>
      <c r="AH87" s="106">
        <f>'Pasture 11B'!E74</f>
        <v>172.4</v>
      </c>
      <c r="AI87" s="106"/>
      <c r="AJ87" s="106"/>
      <c r="AK87" s="106">
        <f>'Pasture 12A'!E71</f>
        <v>402.85</v>
      </c>
      <c r="AL87" s="106">
        <f>'Pasture 12B'!E71</f>
        <v>1664.81</v>
      </c>
      <c r="AM87" s="106">
        <f>'Pasture 12C'!E71</f>
        <v>763.69</v>
      </c>
      <c r="AN87" s="106">
        <f>'Pasture 12D'!E71</f>
        <v>433.85</v>
      </c>
      <c r="AO87" s="106"/>
      <c r="AP87" s="106">
        <f>'Pasture 15'!E67</f>
        <v>1707.4</v>
      </c>
      <c r="AQ87" s="106">
        <f>'Pasture 140'!E55</f>
        <v>62.28</v>
      </c>
      <c r="AS87" s="105">
        <v>1993</v>
      </c>
      <c r="AT87" s="111">
        <f t="shared" si="2"/>
        <v>19521.388999999996</v>
      </c>
      <c r="AU87" s="111">
        <v>21472.18</v>
      </c>
      <c r="AV87" s="111">
        <f t="shared" si="3"/>
        <v>90.914797659110519</v>
      </c>
    </row>
    <row r="88" spans="1:48" x14ac:dyDescent="0.3">
      <c r="A88" s="105">
        <v>1994</v>
      </c>
      <c r="B88" s="106">
        <f>'Pasture 1'!E89</f>
        <v>316.62</v>
      </c>
      <c r="C88" s="106"/>
      <c r="D88" s="106">
        <f>'Pasture 2N'!E81</f>
        <v>1856.07</v>
      </c>
      <c r="E88" s="106">
        <f>'Pasture 2SW'!E81</f>
        <v>562.26</v>
      </c>
      <c r="F88" s="106"/>
      <c r="G88" s="106"/>
      <c r="H88" s="106">
        <f>'UA Cell A'!E81</f>
        <v>1409.17</v>
      </c>
      <c r="I88" s="106"/>
      <c r="J88" s="106"/>
      <c r="K88" s="106"/>
      <c r="L88" s="106"/>
      <c r="M88" s="106"/>
      <c r="N88" s="106"/>
      <c r="O88" s="106"/>
      <c r="P88" s="106"/>
      <c r="Q88" s="106">
        <f>'Pasture 3'!E75</f>
        <v>1661.6</v>
      </c>
      <c r="R88" s="106">
        <f>'Pasture 4'!E81</f>
        <v>269.97000000000003</v>
      </c>
      <c r="S88" s="106"/>
      <c r="T88" s="106">
        <f>'Pasture 5N'!E78</f>
        <v>2216.1</v>
      </c>
      <c r="U88" s="106"/>
      <c r="V88" s="106">
        <f>'Pasture 5S'!E78</f>
        <v>1902.5</v>
      </c>
      <c r="W88" s="106"/>
      <c r="X88" s="106">
        <f>'Pasture 6A'!E81</f>
        <v>1087.27</v>
      </c>
      <c r="Y88" s="106">
        <f>'Pasture 6B'!E81</f>
        <v>679</v>
      </c>
      <c r="Z88" s="106">
        <f>'Pasture 6C'!E81</f>
        <v>172.899</v>
      </c>
      <c r="AA88" s="106">
        <f>'Pasture 6D'!E81</f>
        <v>800.89</v>
      </c>
      <c r="AB88" s="106">
        <f>'Pasture 6E'!E81</f>
        <v>368.59</v>
      </c>
      <c r="AC88" s="106">
        <f>'Pasture 8'!E82</f>
        <v>329.97</v>
      </c>
      <c r="AD88" s="106">
        <f>'Pasture 9'!E88</f>
        <v>361.6</v>
      </c>
      <c r="AE88" s="106">
        <f>'Pasture 10'!E88</f>
        <v>240.42</v>
      </c>
      <c r="AF88" s="106"/>
      <c r="AG88" s="106">
        <f>'Pasture 11A'!E75</f>
        <v>79.180000000000007</v>
      </c>
      <c r="AH88" s="106">
        <f>'Pasture 11B'!E75</f>
        <v>172.4</v>
      </c>
      <c r="AI88" s="106"/>
      <c r="AJ88" s="106"/>
      <c r="AK88" s="106">
        <f>'Pasture 12A'!E72</f>
        <v>402.85</v>
      </c>
      <c r="AL88" s="106">
        <f>'Pasture 12B'!E72</f>
        <v>1664.81</v>
      </c>
      <c r="AM88" s="106">
        <f>'Pasture 12C'!E72</f>
        <v>763.69</v>
      </c>
      <c r="AN88" s="106">
        <f>'Pasture 12D'!E72</f>
        <v>433.85</v>
      </c>
      <c r="AO88" s="106"/>
      <c r="AP88" s="106">
        <f>'Pasture 15'!E68</f>
        <v>1707.4</v>
      </c>
      <c r="AQ88" s="106">
        <f>'Pasture 140'!E56</f>
        <v>62.28</v>
      </c>
      <c r="AS88" s="105">
        <v>1994</v>
      </c>
      <c r="AT88" s="111">
        <f t="shared" si="2"/>
        <v>19521.388999999996</v>
      </c>
      <c r="AU88" s="111">
        <v>21472.18</v>
      </c>
      <c r="AV88" s="111">
        <f t="shared" si="3"/>
        <v>90.914797659110519</v>
      </c>
    </row>
    <row r="89" spans="1:48" x14ac:dyDescent="0.3">
      <c r="A89" s="105">
        <v>1995</v>
      </c>
      <c r="B89" s="106">
        <f>'Pasture 1'!E90</f>
        <v>316.62</v>
      </c>
      <c r="C89" s="106"/>
      <c r="D89" s="106">
        <f>'Pasture 2N'!E82</f>
        <v>1856.07</v>
      </c>
      <c r="E89" s="106">
        <f>'Pasture 2SW'!E82</f>
        <v>562.26</v>
      </c>
      <c r="F89" s="106"/>
      <c r="G89" s="106"/>
      <c r="H89" s="106">
        <f>'UA Cell A'!E82</f>
        <v>1409.17</v>
      </c>
      <c r="I89" s="106"/>
      <c r="J89" s="106"/>
      <c r="K89" s="106"/>
      <c r="L89" s="106"/>
      <c r="M89" s="106"/>
      <c r="N89" s="106"/>
      <c r="O89" s="106"/>
      <c r="P89" s="106"/>
      <c r="Q89" s="106">
        <f>'Pasture 3'!E76</f>
        <v>1661.6</v>
      </c>
      <c r="R89" s="106">
        <f>'Pasture 4'!E82</f>
        <v>269.97000000000003</v>
      </c>
      <c r="S89" s="106"/>
      <c r="T89" s="106">
        <f>'Pasture 5N'!E79</f>
        <v>2216.1</v>
      </c>
      <c r="U89" s="106"/>
      <c r="V89" s="106">
        <f>'Pasture 5S'!E79</f>
        <v>1902.5</v>
      </c>
      <c r="W89" s="106"/>
      <c r="X89" s="106">
        <f>'Pasture 6A'!E82</f>
        <v>1087.27</v>
      </c>
      <c r="Y89" s="106">
        <f>'Pasture 6B'!E82</f>
        <v>679</v>
      </c>
      <c r="Z89" s="106">
        <f>'Pasture 6C'!E82</f>
        <v>172.899</v>
      </c>
      <c r="AA89" s="106">
        <f>'Pasture 6D'!E82</f>
        <v>800.89</v>
      </c>
      <c r="AB89" s="106">
        <f>'Pasture 6E'!E82</f>
        <v>368.59</v>
      </c>
      <c r="AC89" s="106">
        <f>'Pasture 8'!E83</f>
        <v>329.97</v>
      </c>
      <c r="AD89" s="106">
        <f>'Pasture 9'!E89</f>
        <v>361.6</v>
      </c>
      <c r="AE89" s="106">
        <f>'Pasture 10'!E89</f>
        <v>240.42</v>
      </c>
      <c r="AF89" s="106"/>
      <c r="AG89" s="106">
        <f>'Pasture 11A'!E76</f>
        <v>79.180000000000007</v>
      </c>
      <c r="AH89" s="106">
        <f>'Pasture 11B'!E76</f>
        <v>172.4</v>
      </c>
      <c r="AI89" s="106"/>
      <c r="AJ89" s="106"/>
      <c r="AK89" s="106">
        <f>'Pasture 12A'!E73</f>
        <v>402.85</v>
      </c>
      <c r="AL89" s="106">
        <f>'Pasture 12B'!E73</f>
        <v>1664.81</v>
      </c>
      <c r="AM89" s="106">
        <f>'Pasture 12C'!E73</f>
        <v>763.69</v>
      </c>
      <c r="AN89" s="106">
        <f>'Pasture 12D'!E73</f>
        <v>433.85</v>
      </c>
      <c r="AO89" s="106"/>
      <c r="AP89" s="106">
        <f>'Pasture 15'!E69</f>
        <v>1707.4</v>
      </c>
      <c r="AQ89" s="106">
        <f>'Pasture 140'!E57</f>
        <v>62.28</v>
      </c>
      <c r="AS89" s="105">
        <v>1995</v>
      </c>
      <c r="AT89" s="111">
        <f t="shared" si="2"/>
        <v>19521.388999999996</v>
      </c>
      <c r="AU89" s="111">
        <v>21472.18</v>
      </c>
      <c r="AV89" s="111">
        <f t="shared" si="3"/>
        <v>90.914797659110519</v>
      </c>
    </row>
    <row r="90" spans="1:48" x14ac:dyDescent="0.3">
      <c r="A90" s="105">
        <v>1996</v>
      </c>
      <c r="B90" s="106">
        <f>'Pasture 1'!E91</f>
        <v>316.62</v>
      </c>
      <c r="C90" s="106"/>
      <c r="D90" s="106">
        <f>'Pasture 2N'!E83</f>
        <v>1856.07</v>
      </c>
      <c r="E90" s="106">
        <f>'Pasture 2SW'!E83</f>
        <v>562.26</v>
      </c>
      <c r="F90" s="106"/>
      <c r="G90" s="106"/>
      <c r="H90" s="106">
        <f>'UA Cell A'!E83</f>
        <v>1409.17</v>
      </c>
      <c r="I90" s="106"/>
      <c r="J90" s="106"/>
      <c r="K90" s="106"/>
      <c r="L90" s="106"/>
      <c r="M90" s="106"/>
      <c r="N90" s="106"/>
      <c r="O90" s="106"/>
      <c r="P90" s="106"/>
      <c r="Q90" s="106">
        <f>'Pasture 3'!E77</f>
        <v>1661.6</v>
      </c>
      <c r="R90" s="106">
        <f>'Pasture 4'!E83</f>
        <v>269.97000000000003</v>
      </c>
      <c r="S90" s="106"/>
      <c r="T90" s="106">
        <f>'Pasture 5N'!E80</f>
        <v>2216.1</v>
      </c>
      <c r="U90" s="106"/>
      <c r="V90" s="106">
        <f>'Pasture 5S'!E80</f>
        <v>1902.5</v>
      </c>
      <c r="W90" s="106"/>
      <c r="X90" s="106">
        <f>'Pasture 6A'!E83</f>
        <v>1087.27</v>
      </c>
      <c r="Y90" s="106">
        <f>'Pasture 6B'!E83</f>
        <v>679</v>
      </c>
      <c r="Z90" s="106">
        <f>'Pasture 6C'!E83</f>
        <v>172.899</v>
      </c>
      <c r="AA90" s="106">
        <f>'Pasture 6D'!E83</f>
        <v>800.89</v>
      </c>
      <c r="AB90" s="106">
        <f>'Pasture 6E'!E83</f>
        <v>368.59</v>
      </c>
      <c r="AC90" s="106">
        <f>'Pasture 8'!E84</f>
        <v>329.97</v>
      </c>
      <c r="AD90" s="106">
        <f>'Pasture 9'!E90</f>
        <v>361.6</v>
      </c>
      <c r="AE90" s="106">
        <f>'Pasture 10'!E90</f>
        <v>240.42</v>
      </c>
      <c r="AF90" s="106"/>
      <c r="AG90" s="106">
        <f>'Pasture 11A'!E77</f>
        <v>79.180000000000007</v>
      </c>
      <c r="AH90" s="106">
        <f>'Pasture 11B'!E77</f>
        <v>85.66</v>
      </c>
      <c r="AI90" s="106">
        <f>'Pasture 11C'!E77</f>
        <v>86.75</v>
      </c>
      <c r="AJ90" s="106"/>
      <c r="AK90" s="106">
        <f>'Pasture 12A'!E74</f>
        <v>402.85</v>
      </c>
      <c r="AL90" s="106">
        <f>'Pasture 12B'!E74</f>
        <v>1664.81</v>
      </c>
      <c r="AM90" s="106">
        <f>'Pasture 12C'!E74</f>
        <v>763.69</v>
      </c>
      <c r="AN90" s="106">
        <f>'Pasture 12D'!E74</f>
        <v>433.85</v>
      </c>
      <c r="AO90" s="106"/>
      <c r="AP90" s="106">
        <f>'Pasture 15'!E70</f>
        <v>1707.4</v>
      </c>
      <c r="AQ90" s="106">
        <f>'Pasture 140'!E58</f>
        <v>62.28</v>
      </c>
      <c r="AS90" s="105">
        <v>1996</v>
      </c>
      <c r="AT90" s="111">
        <f t="shared" si="2"/>
        <v>19521.398999999998</v>
      </c>
      <c r="AU90" s="111">
        <v>21472.18</v>
      </c>
      <c r="AV90" s="111">
        <f t="shared" si="3"/>
        <v>90.914844231000288</v>
      </c>
    </row>
    <row r="91" spans="1:48" x14ac:dyDescent="0.3">
      <c r="A91" s="105">
        <v>1997</v>
      </c>
      <c r="B91" s="106">
        <f>'Pasture 1'!E92</f>
        <v>316.62</v>
      </c>
      <c r="C91" s="106"/>
      <c r="D91" s="106">
        <f>'Pasture 2N'!E84</f>
        <v>1856.07</v>
      </c>
      <c r="E91" s="106">
        <f>'Pasture 2SW'!E84</f>
        <v>562.26</v>
      </c>
      <c r="F91" s="106"/>
      <c r="G91" s="106"/>
      <c r="H91" s="106">
        <f>'UA Cell A'!E84</f>
        <v>1409.17</v>
      </c>
      <c r="I91" s="106"/>
      <c r="J91" s="106"/>
      <c r="K91" s="106"/>
      <c r="L91" s="106"/>
      <c r="M91" s="106"/>
      <c r="N91" s="106"/>
      <c r="O91" s="106"/>
      <c r="P91" s="106"/>
      <c r="Q91" s="106">
        <f>'Pasture 3'!E78</f>
        <v>1661.6</v>
      </c>
      <c r="R91" s="106">
        <f>'Pasture 4'!E84</f>
        <v>269.97000000000003</v>
      </c>
      <c r="S91" s="106"/>
      <c r="T91" s="106">
        <f>'Pasture 5N'!E81</f>
        <v>2216.1</v>
      </c>
      <c r="U91" s="106"/>
      <c r="V91" s="106">
        <f>'Pasture 5S'!E81</f>
        <v>1902.5</v>
      </c>
      <c r="W91" s="106"/>
      <c r="X91" s="106">
        <f>'Pasture 6A'!E84</f>
        <v>1087.27</v>
      </c>
      <c r="Y91" s="106">
        <f>'Pasture 6B'!E84</f>
        <v>679</v>
      </c>
      <c r="Z91" s="106">
        <f>'Pasture 6C'!E84</f>
        <v>172.899</v>
      </c>
      <c r="AA91" s="106">
        <f>'Pasture 6D'!E84</f>
        <v>800.89</v>
      </c>
      <c r="AB91" s="106">
        <f>'Pasture 6E'!E84</f>
        <v>368.59</v>
      </c>
      <c r="AC91" s="106">
        <f>'Pasture 8'!E85</f>
        <v>329.97</v>
      </c>
      <c r="AD91" s="106">
        <f>'Pasture 9'!E91</f>
        <v>361.6</v>
      </c>
      <c r="AE91" s="106">
        <f>'Pasture 10'!E91</f>
        <v>240.42</v>
      </c>
      <c r="AF91" s="106"/>
      <c r="AG91" s="106">
        <f>'Pasture 11A'!E78</f>
        <v>79.180000000000007</v>
      </c>
      <c r="AH91" s="106">
        <f>'Pasture 11B'!E78</f>
        <v>85.66</v>
      </c>
      <c r="AI91" s="106">
        <f>'Pasture 11C'!E78</f>
        <v>86.75</v>
      </c>
      <c r="AJ91" s="106"/>
      <c r="AK91" s="106">
        <f>'Pasture 12A'!E75</f>
        <v>402.85</v>
      </c>
      <c r="AL91" s="106">
        <f>'Pasture 12B'!E75</f>
        <v>1664.81</v>
      </c>
      <c r="AM91" s="106">
        <f>'Pasture 12C'!E75</f>
        <v>763.69</v>
      </c>
      <c r="AN91" s="106">
        <f>'Pasture 12D'!E75</f>
        <v>433.85</v>
      </c>
      <c r="AO91" s="106"/>
      <c r="AP91" s="106">
        <f>'Pasture 15'!E71</f>
        <v>1707.4</v>
      </c>
      <c r="AQ91" s="106">
        <f>'Pasture 140'!E59</f>
        <v>62.28</v>
      </c>
      <c r="AS91" s="105">
        <v>1997</v>
      </c>
      <c r="AT91" s="111">
        <f t="shared" si="2"/>
        <v>19521.398999999998</v>
      </c>
      <c r="AU91" s="111">
        <v>21472.18</v>
      </c>
      <c r="AV91" s="111">
        <f t="shared" si="3"/>
        <v>90.914844231000288</v>
      </c>
    </row>
    <row r="92" spans="1:48" x14ac:dyDescent="0.3">
      <c r="A92" s="105">
        <v>1998</v>
      </c>
      <c r="B92" s="106">
        <f>'Pasture 1'!E93</f>
        <v>316.62</v>
      </c>
      <c r="C92" s="106"/>
      <c r="D92" s="106">
        <f>'Pasture 2N'!E85</f>
        <v>1856.07</v>
      </c>
      <c r="E92" s="106">
        <f>'Pasture 2SW'!E85</f>
        <v>562.26</v>
      </c>
      <c r="F92" s="106"/>
      <c r="G92" s="106"/>
      <c r="H92" s="106">
        <f>'UA Cell A'!E85</f>
        <v>1409.17</v>
      </c>
      <c r="I92" s="106"/>
      <c r="J92" s="106"/>
      <c r="K92" s="106"/>
      <c r="L92" s="106"/>
      <c r="M92" s="106"/>
      <c r="N92" s="106"/>
      <c r="O92" s="106"/>
      <c r="P92" s="106"/>
      <c r="Q92" s="106">
        <f>'Pasture 3'!E79</f>
        <v>1661.6</v>
      </c>
      <c r="R92" s="106">
        <f>'Pasture 4'!E85</f>
        <v>269.97000000000003</v>
      </c>
      <c r="S92" s="106"/>
      <c r="T92" s="106">
        <f>'Pasture 5N'!E82</f>
        <v>2216.1</v>
      </c>
      <c r="U92" s="106"/>
      <c r="V92" s="106">
        <f>'Pasture 5S'!E82</f>
        <v>1902.5</v>
      </c>
      <c r="W92" s="106"/>
      <c r="X92" s="106">
        <f>'Pasture 6A'!E85</f>
        <v>1087.27</v>
      </c>
      <c r="Y92" s="106">
        <f>'Pasture 6B'!E85</f>
        <v>679</v>
      </c>
      <c r="Z92" s="106">
        <f>'Pasture 6C'!E85</f>
        <v>172.899</v>
      </c>
      <c r="AA92" s="106">
        <f>'Pasture 6D'!E85</f>
        <v>800.89</v>
      </c>
      <c r="AB92" s="106">
        <f>'Pasture 6E'!E85</f>
        <v>368.59</v>
      </c>
      <c r="AC92" s="106">
        <f>'Pasture 8'!E86</f>
        <v>329.97</v>
      </c>
      <c r="AD92" s="106">
        <f>'Pasture 9'!E92</f>
        <v>361.6</v>
      </c>
      <c r="AE92" s="106">
        <f>'Pasture 10'!E92</f>
        <v>240.42</v>
      </c>
      <c r="AF92" s="106"/>
      <c r="AG92" s="106">
        <f>'Pasture 11A'!E79</f>
        <v>79.180000000000007</v>
      </c>
      <c r="AH92" s="106">
        <f>'Pasture 11B'!E79</f>
        <v>85.66</v>
      </c>
      <c r="AI92" s="106">
        <f>'Pasture 11C'!E79</f>
        <v>86.75</v>
      </c>
      <c r="AJ92" s="106"/>
      <c r="AK92" s="106">
        <f>'Pasture 12A'!E76</f>
        <v>402.85</v>
      </c>
      <c r="AL92" s="106">
        <f>'Pasture 12B'!E76</f>
        <v>1664.81</v>
      </c>
      <c r="AM92" s="106">
        <f>'Pasture 12C'!E76</f>
        <v>763.69</v>
      </c>
      <c r="AN92" s="106">
        <f>'Pasture 12D'!E76</f>
        <v>433.85</v>
      </c>
      <c r="AO92" s="106"/>
      <c r="AP92" s="106">
        <f>'Pasture 15'!E72</f>
        <v>1707.4</v>
      </c>
      <c r="AQ92" s="106">
        <f>'Pasture 140'!E60</f>
        <v>62.28</v>
      </c>
      <c r="AS92" s="105">
        <v>1998</v>
      </c>
      <c r="AT92" s="111">
        <f t="shared" si="2"/>
        <v>19521.398999999998</v>
      </c>
      <c r="AU92" s="111">
        <v>21472.18</v>
      </c>
      <c r="AV92" s="111">
        <f t="shared" si="3"/>
        <v>90.914844231000288</v>
      </c>
    </row>
    <row r="93" spans="1:48" x14ac:dyDescent="0.3">
      <c r="A93" s="105">
        <v>1999</v>
      </c>
      <c r="B93" s="106">
        <f>'Pasture 1'!E94</f>
        <v>316.62</v>
      </c>
      <c r="C93" s="106"/>
      <c r="D93" s="106">
        <f>'Pasture 2N'!E86</f>
        <v>1856.07</v>
      </c>
      <c r="E93" s="106">
        <f>'Pasture 2SW'!E86</f>
        <v>562.26</v>
      </c>
      <c r="F93" s="106"/>
      <c r="G93" s="106"/>
      <c r="H93" s="106">
        <f>'UA Cell A'!E86</f>
        <v>1409.17</v>
      </c>
      <c r="I93" s="106"/>
      <c r="J93" s="106"/>
      <c r="K93" s="106"/>
      <c r="L93" s="106"/>
      <c r="M93" s="106"/>
      <c r="N93" s="106"/>
      <c r="O93" s="106"/>
      <c r="P93" s="106"/>
      <c r="Q93" s="106">
        <f>'Pasture 3'!E80</f>
        <v>1661.6</v>
      </c>
      <c r="R93" s="106">
        <f>'Pasture 4'!E86</f>
        <v>269.97000000000003</v>
      </c>
      <c r="S93" s="106"/>
      <c r="T93" s="106">
        <f>'Pasture 5N'!E83</f>
        <v>2216.1</v>
      </c>
      <c r="U93" s="106"/>
      <c r="V93" s="106">
        <f>'Pasture 5S'!E83</f>
        <v>1902.5</v>
      </c>
      <c r="W93" s="106"/>
      <c r="X93" s="106">
        <f>'Pasture 6A'!E86</f>
        <v>1087.27</v>
      </c>
      <c r="Y93" s="106">
        <f>'Pasture 6B'!E86</f>
        <v>679</v>
      </c>
      <c r="Z93" s="106">
        <f>'Pasture 6C'!E86</f>
        <v>172.899</v>
      </c>
      <c r="AA93" s="106">
        <f>'Pasture 6D'!E86</f>
        <v>800.89</v>
      </c>
      <c r="AB93" s="106">
        <f>'Pasture 6E'!E86</f>
        <v>368.59</v>
      </c>
      <c r="AC93" s="106">
        <f>'Pasture 8'!E87</f>
        <v>329.97</v>
      </c>
      <c r="AD93" s="106">
        <f>'Pasture 9'!E93</f>
        <v>361.6</v>
      </c>
      <c r="AE93" s="106">
        <f>'Pasture 10'!E93</f>
        <v>240.42</v>
      </c>
      <c r="AF93" s="106"/>
      <c r="AG93" s="106">
        <f>'Pasture 11A'!E80</f>
        <v>79.180000000000007</v>
      </c>
      <c r="AH93" s="106">
        <f>'Pasture 11B'!E80</f>
        <v>85.66</v>
      </c>
      <c r="AI93" s="106">
        <f>'Pasture 11C'!E80</f>
        <v>86.75</v>
      </c>
      <c r="AJ93" s="106"/>
      <c r="AK93" s="106">
        <f>'Pasture 12A'!E77</f>
        <v>402.85</v>
      </c>
      <c r="AL93" s="106">
        <f>'Pasture 12B'!E77</f>
        <v>1664.81</v>
      </c>
      <c r="AM93" s="106">
        <f>'Pasture 12C'!E77</f>
        <v>763.69</v>
      </c>
      <c r="AN93" s="106">
        <f>'Pasture 12D'!E77</f>
        <v>433.85</v>
      </c>
      <c r="AO93" s="106"/>
      <c r="AP93" s="106">
        <f>'Pasture 15'!E73</f>
        <v>1707.4</v>
      </c>
      <c r="AQ93" s="106">
        <f>'Pasture 140'!E61</f>
        <v>62.28</v>
      </c>
      <c r="AS93" s="105">
        <v>1999</v>
      </c>
      <c r="AT93" s="111">
        <f t="shared" si="2"/>
        <v>19521.398999999998</v>
      </c>
      <c r="AU93" s="111">
        <v>21472.18</v>
      </c>
      <c r="AV93" s="111">
        <f t="shared" si="3"/>
        <v>90.914844231000288</v>
      </c>
    </row>
    <row r="94" spans="1:48" x14ac:dyDescent="0.3">
      <c r="A94" s="105">
        <v>2000</v>
      </c>
      <c r="B94" s="106">
        <f>'Pasture 1'!E95</f>
        <v>316.62</v>
      </c>
      <c r="C94" s="106"/>
      <c r="D94" s="106">
        <f>'Pasture 2N'!E87</f>
        <v>1856.07</v>
      </c>
      <c r="E94" s="106">
        <f>'Pasture 2SW'!E87</f>
        <v>562.26</v>
      </c>
      <c r="F94" s="106"/>
      <c r="G94" s="106"/>
      <c r="H94" s="106">
        <f>'UA Cell A'!E87</f>
        <v>1409.17</v>
      </c>
      <c r="I94" s="106"/>
      <c r="J94" s="106"/>
      <c r="K94" s="106"/>
      <c r="L94" s="106"/>
      <c r="M94" s="106"/>
      <c r="N94" s="106"/>
      <c r="O94" s="106"/>
      <c r="P94" s="106"/>
      <c r="Q94" s="106">
        <f>'Pasture 3'!E81</f>
        <v>1661.6</v>
      </c>
      <c r="R94" s="106">
        <f>'Pasture 4'!E87</f>
        <v>269.97000000000003</v>
      </c>
      <c r="S94" s="106"/>
      <c r="T94" s="106">
        <f>'Pasture 5N'!E84</f>
        <v>2216.1</v>
      </c>
      <c r="U94" s="106"/>
      <c r="V94" s="106">
        <f>'Pasture 5S'!E84</f>
        <v>1902.5</v>
      </c>
      <c r="W94" s="106"/>
      <c r="X94" s="106">
        <f>'Pasture 6A'!E87</f>
        <v>1087.27</v>
      </c>
      <c r="Y94" s="106">
        <f>'Pasture 6B'!E87</f>
        <v>679</v>
      </c>
      <c r="Z94" s="106">
        <f>'Pasture 6C'!E87</f>
        <v>172.899</v>
      </c>
      <c r="AA94" s="106">
        <f>'Pasture 6D'!E87</f>
        <v>800.89</v>
      </c>
      <c r="AB94" s="106">
        <f>'Pasture 6E'!E87</f>
        <v>368.59</v>
      </c>
      <c r="AC94" s="106">
        <f>'Pasture 8'!E88</f>
        <v>329.97</v>
      </c>
      <c r="AD94" s="106">
        <f>'Pasture 9'!E94</f>
        <v>361.6</v>
      </c>
      <c r="AE94" s="106">
        <f>'Pasture 10'!E94</f>
        <v>240.42</v>
      </c>
      <c r="AF94" s="106"/>
      <c r="AG94" s="106">
        <f>'Pasture 11A'!E81</f>
        <v>79.180000000000007</v>
      </c>
      <c r="AH94" s="106">
        <f>'Pasture 11B'!E81</f>
        <v>85.66</v>
      </c>
      <c r="AI94" s="106">
        <f>'Pasture 11C'!E81</f>
        <v>86.75</v>
      </c>
      <c r="AJ94" s="106"/>
      <c r="AK94" s="106">
        <f>'Pasture 12A'!E78</f>
        <v>402.85</v>
      </c>
      <c r="AL94" s="106">
        <f>'Pasture 12B'!E78</f>
        <v>1664.81</v>
      </c>
      <c r="AM94" s="106">
        <f>'Pasture 12C'!E78</f>
        <v>763.69</v>
      </c>
      <c r="AN94" s="106">
        <f>'Pasture 12D'!E78</f>
        <v>433.85</v>
      </c>
      <c r="AO94" s="106"/>
      <c r="AP94" s="106">
        <f>'Pasture 15'!E74</f>
        <v>1707.4</v>
      </c>
      <c r="AQ94" s="106">
        <f>'Pasture 140'!E62</f>
        <v>62.28</v>
      </c>
      <c r="AS94" s="105">
        <v>2000</v>
      </c>
      <c r="AT94" s="111">
        <f t="shared" si="2"/>
        <v>19521.398999999998</v>
      </c>
      <c r="AU94" s="111">
        <v>21472.18</v>
      </c>
      <c r="AV94" s="111">
        <f t="shared" si="3"/>
        <v>90.914844231000288</v>
      </c>
    </row>
    <row r="95" spans="1:48" x14ac:dyDescent="0.3">
      <c r="A95" s="105">
        <v>2001</v>
      </c>
      <c r="B95" s="106">
        <f>'Pasture 1'!E96</f>
        <v>316.62</v>
      </c>
      <c r="C95" s="106"/>
      <c r="D95" s="106">
        <f>'Pasture 2N'!E88</f>
        <v>1856.07</v>
      </c>
      <c r="E95" s="106">
        <f>'Pasture 2SW'!E88</f>
        <v>562.26</v>
      </c>
      <c r="F95" s="106"/>
      <c r="G95" s="106"/>
      <c r="H95" s="106">
        <f>'UA Cell A'!E88</f>
        <v>1409.17</v>
      </c>
      <c r="I95" s="106"/>
      <c r="J95" s="106"/>
      <c r="K95" s="106"/>
      <c r="L95" s="106"/>
      <c r="M95" s="106"/>
      <c r="N95" s="106"/>
      <c r="O95" s="106"/>
      <c r="P95" s="106"/>
      <c r="Q95" s="106">
        <f>'Pasture 3'!E82</f>
        <v>1661.6</v>
      </c>
      <c r="R95" s="106">
        <f>'Pasture 4'!E88</f>
        <v>269.97000000000003</v>
      </c>
      <c r="S95" s="106"/>
      <c r="T95" s="106">
        <f>'Pasture 5N'!E85</f>
        <v>2216.1</v>
      </c>
      <c r="U95" s="106"/>
      <c r="V95" s="106">
        <f>'Pasture 5S'!E85</f>
        <v>1902.5</v>
      </c>
      <c r="W95" s="106"/>
      <c r="X95" s="106">
        <f>'Pasture 6A'!E88</f>
        <v>1087.27</v>
      </c>
      <c r="Y95" s="106">
        <f>'Pasture 6B'!E88</f>
        <v>679</v>
      </c>
      <c r="Z95" s="106">
        <f>'Pasture 6C'!E88</f>
        <v>172.899</v>
      </c>
      <c r="AA95" s="106">
        <f>'Pasture 6D'!E88</f>
        <v>800.89</v>
      </c>
      <c r="AB95" s="106">
        <f>'Pasture 6E'!E88</f>
        <v>368.59</v>
      </c>
      <c r="AC95" s="106">
        <f>'Pasture 8'!E89</f>
        <v>329.97</v>
      </c>
      <c r="AD95" s="106">
        <f>'Pasture 9'!E95</f>
        <v>361.6</v>
      </c>
      <c r="AE95" s="106">
        <f>'Pasture 10'!E95</f>
        <v>240.42</v>
      </c>
      <c r="AF95" s="106"/>
      <c r="AG95" s="106">
        <f>'Pasture 11A'!E82</f>
        <v>79.180000000000007</v>
      </c>
      <c r="AH95" s="106">
        <f>'Pasture 11B'!E82</f>
        <v>85.66</v>
      </c>
      <c r="AI95" s="106">
        <f>'Pasture 11C'!E82</f>
        <v>86.75</v>
      </c>
      <c r="AJ95" s="106"/>
      <c r="AK95" s="106">
        <f>'Pasture 12A'!E79</f>
        <v>402.85</v>
      </c>
      <c r="AL95" s="106">
        <f>'Pasture 12B'!E79</f>
        <v>1664.81</v>
      </c>
      <c r="AM95" s="106">
        <f>'Pasture 12C'!E79</f>
        <v>763.69</v>
      </c>
      <c r="AN95" s="106">
        <f>'Pasture 12D'!E79</f>
        <v>433.85</v>
      </c>
      <c r="AO95" s="106"/>
      <c r="AP95" s="106">
        <f>'Pasture 15'!E75</f>
        <v>1707.4</v>
      </c>
      <c r="AQ95" s="106">
        <f>'Pasture 140'!E63</f>
        <v>62.28</v>
      </c>
      <c r="AS95" s="105">
        <v>2001</v>
      </c>
      <c r="AT95" s="111">
        <f t="shared" si="2"/>
        <v>19521.398999999998</v>
      </c>
      <c r="AU95" s="111">
        <v>21472.18</v>
      </c>
      <c r="AV95" s="111">
        <f t="shared" si="3"/>
        <v>90.914844231000288</v>
      </c>
    </row>
    <row r="96" spans="1:48" x14ac:dyDescent="0.3">
      <c r="A96" s="105">
        <v>2002</v>
      </c>
      <c r="B96" s="106">
        <f>'Pasture 1'!E97</f>
        <v>316.62</v>
      </c>
      <c r="C96" s="106"/>
      <c r="D96" s="106">
        <f>'Pasture 2N'!E89</f>
        <v>1856.07</v>
      </c>
      <c r="E96" s="106">
        <f>'Pasture 2SW'!E89</f>
        <v>562.26</v>
      </c>
      <c r="F96" s="106"/>
      <c r="G96" s="106"/>
      <c r="H96" s="106">
        <f>'UA Cell A'!E89</f>
        <v>1409.17</v>
      </c>
      <c r="I96" s="106"/>
      <c r="J96" s="106"/>
      <c r="K96" s="106"/>
      <c r="L96" s="106"/>
      <c r="M96" s="106"/>
      <c r="N96" s="106"/>
      <c r="O96" s="106"/>
      <c r="P96" s="106"/>
      <c r="Q96" s="106">
        <f>'Pasture 3'!E83</f>
        <v>1661.6</v>
      </c>
      <c r="R96" s="106">
        <f>'Pasture 4'!E89</f>
        <v>269.97000000000003</v>
      </c>
      <c r="S96" s="106"/>
      <c r="T96" s="106">
        <f>'Pasture 5N'!E86</f>
        <v>2216.1</v>
      </c>
      <c r="U96" s="106"/>
      <c r="V96" s="106">
        <f>'Pasture 5S'!E86</f>
        <v>1902.5</v>
      </c>
      <c r="W96" s="106"/>
      <c r="X96" s="106">
        <f>'Pasture 6A'!E89</f>
        <v>1087.27</v>
      </c>
      <c r="Y96" s="106">
        <f>'Pasture 6B'!E89</f>
        <v>679</v>
      </c>
      <c r="Z96" s="106">
        <f>'Pasture 6C'!E89</f>
        <v>172.899</v>
      </c>
      <c r="AA96" s="106">
        <f>'Pasture 6D'!E89</f>
        <v>800.89</v>
      </c>
      <c r="AB96" s="106">
        <f>'Pasture 6E'!E89</f>
        <v>368.59</v>
      </c>
      <c r="AC96" s="106">
        <f>'Pasture 8'!E90</f>
        <v>329.97</v>
      </c>
      <c r="AD96" s="106">
        <f>'Pasture 9'!E96</f>
        <v>361.6</v>
      </c>
      <c r="AE96" s="106">
        <f>'Pasture 10'!E96</f>
        <v>240.42</v>
      </c>
      <c r="AF96" s="106"/>
      <c r="AG96" s="106">
        <f>'Pasture 11A'!E83</f>
        <v>79.180000000000007</v>
      </c>
      <c r="AH96" s="106">
        <f>'Pasture 11B'!E83</f>
        <v>85.66</v>
      </c>
      <c r="AI96" s="106">
        <f>'Pasture 11C'!E83</f>
        <v>86.75</v>
      </c>
      <c r="AJ96" s="106"/>
      <c r="AK96" s="106">
        <f>'Pasture 12A'!E80</f>
        <v>402.85</v>
      </c>
      <c r="AL96" s="106">
        <f>'Pasture 12B'!E80</f>
        <v>1664.81</v>
      </c>
      <c r="AM96" s="106">
        <f>'Pasture 12C'!E80</f>
        <v>763.69</v>
      </c>
      <c r="AN96" s="106">
        <f>'Pasture 12D'!E80</f>
        <v>433.85</v>
      </c>
      <c r="AO96" s="106"/>
      <c r="AP96" s="106">
        <f>'Pasture 15'!E76</f>
        <v>1707.4</v>
      </c>
      <c r="AQ96" s="106">
        <f>'Pasture 140'!E64</f>
        <v>62.28</v>
      </c>
      <c r="AS96" s="105">
        <v>2002</v>
      </c>
      <c r="AT96" s="111">
        <f t="shared" si="2"/>
        <v>19521.398999999998</v>
      </c>
      <c r="AU96" s="111">
        <v>21472.18</v>
      </c>
      <c r="AV96" s="111">
        <f t="shared" si="3"/>
        <v>90.914844231000288</v>
      </c>
    </row>
    <row r="97" spans="1:48" x14ac:dyDescent="0.3">
      <c r="A97" s="105">
        <v>2003</v>
      </c>
      <c r="B97" s="106">
        <f>'Pasture 1'!E98</f>
        <v>316.62</v>
      </c>
      <c r="C97" s="106"/>
      <c r="D97" s="106">
        <f>'Pasture 2N'!E90</f>
        <v>1856.07</v>
      </c>
      <c r="E97" s="106">
        <f>'Pasture 2SW'!E90</f>
        <v>562.26</v>
      </c>
      <c r="F97" s="106"/>
      <c r="G97" s="106"/>
      <c r="H97" s="106">
        <f>'UA Cell A'!E90</f>
        <v>1409.17</v>
      </c>
      <c r="I97" s="106"/>
      <c r="J97" s="106"/>
      <c r="K97" s="106"/>
      <c r="L97" s="106"/>
      <c r="M97" s="106"/>
      <c r="N97" s="106"/>
      <c r="O97" s="106"/>
      <c r="P97" s="106"/>
      <c r="Q97" s="106">
        <f>'Pasture 3'!E84</f>
        <v>1661.6</v>
      </c>
      <c r="R97" s="106">
        <f>'Pasture 4'!E90</f>
        <v>269.97000000000003</v>
      </c>
      <c r="S97" s="106"/>
      <c r="T97" s="106">
        <f>'Pasture 5N'!E87</f>
        <v>2216.1</v>
      </c>
      <c r="U97" s="106"/>
      <c r="V97" s="106">
        <f>'Pasture 5S'!E87</f>
        <v>1902.5</v>
      </c>
      <c r="W97" s="106"/>
      <c r="X97" s="106">
        <f>'Pasture 6A'!E90</f>
        <v>1087.27</v>
      </c>
      <c r="Y97" s="106">
        <f>'Pasture 6B'!E90</f>
        <v>679</v>
      </c>
      <c r="Z97" s="106">
        <f>'Pasture 6C'!E90</f>
        <v>172.899</v>
      </c>
      <c r="AA97" s="106">
        <f>'Pasture 6D'!E90</f>
        <v>800.89</v>
      </c>
      <c r="AB97" s="106">
        <f>'Pasture 6E'!E90</f>
        <v>368.59</v>
      </c>
      <c r="AC97" s="106">
        <f>'Pasture 8'!E91</f>
        <v>329.97</v>
      </c>
      <c r="AD97" s="106">
        <f>'Pasture 9'!E97</f>
        <v>361.6</v>
      </c>
      <c r="AE97" s="106">
        <f>'Pasture 10'!E97</f>
        <v>240.42</v>
      </c>
      <c r="AF97" s="106"/>
      <c r="AG97" s="106">
        <f>'Pasture 11A'!E84</f>
        <v>79.180000000000007</v>
      </c>
      <c r="AH97" s="106">
        <f>'Pasture 11B'!E84</f>
        <v>85.66</v>
      </c>
      <c r="AI97" s="106">
        <f>'Pasture 11C'!E84</f>
        <v>86.75</v>
      </c>
      <c r="AJ97" s="106"/>
      <c r="AK97" s="106">
        <f>'Pasture 12A'!E81</f>
        <v>402.85</v>
      </c>
      <c r="AL97" s="106">
        <f>'Pasture 12B'!E81</f>
        <v>1664.81</v>
      </c>
      <c r="AM97" s="106">
        <f>'Pasture 12C'!E81</f>
        <v>763.69</v>
      </c>
      <c r="AN97" s="106">
        <f>'Pasture 12D'!E81</f>
        <v>433.85</v>
      </c>
      <c r="AO97" s="106"/>
      <c r="AP97" s="106">
        <f>'Pasture 15'!E77</f>
        <v>1707.4</v>
      </c>
      <c r="AQ97" s="106">
        <f>'Pasture 140'!E65</f>
        <v>62.28</v>
      </c>
      <c r="AS97" s="105">
        <v>2003</v>
      </c>
      <c r="AT97" s="111">
        <f t="shared" si="2"/>
        <v>19521.398999999998</v>
      </c>
      <c r="AU97" s="111">
        <v>21472.18</v>
      </c>
      <c r="AV97" s="111">
        <f t="shared" si="3"/>
        <v>90.914844231000288</v>
      </c>
    </row>
    <row r="98" spans="1:48" x14ac:dyDescent="0.3">
      <c r="A98" s="105">
        <v>2004</v>
      </c>
      <c r="B98" s="106">
        <f>'Pasture 1'!E99</f>
        <v>316.62</v>
      </c>
      <c r="C98" s="106"/>
      <c r="D98" s="106">
        <f>'Pasture 2N'!E91</f>
        <v>1856.07</v>
      </c>
      <c r="E98" s="106">
        <f>'Pasture 2SW'!E91</f>
        <v>562.26</v>
      </c>
      <c r="F98" s="106"/>
      <c r="G98" s="106"/>
      <c r="H98" s="106">
        <f>'UA Cell A'!E91</f>
        <v>1409.17</v>
      </c>
      <c r="I98" s="106"/>
      <c r="J98" s="106"/>
      <c r="K98" s="106"/>
      <c r="L98" s="106"/>
      <c r="M98" s="106"/>
      <c r="N98" s="106"/>
      <c r="O98" s="106"/>
      <c r="P98" s="106"/>
      <c r="Q98" s="106">
        <f>'Pasture 3'!E85</f>
        <v>1661.6</v>
      </c>
      <c r="R98" s="106">
        <f>'Pasture 4'!E91</f>
        <v>269.97000000000003</v>
      </c>
      <c r="S98" s="106"/>
      <c r="T98" s="106">
        <f>'Pasture 5N'!E88</f>
        <v>2216.1</v>
      </c>
      <c r="U98" s="106"/>
      <c r="V98" s="106">
        <f>'Pasture 5S'!E88</f>
        <v>1902.5</v>
      </c>
      <c r="W98" s="106"/>
      <c r="X98" s="106">
        <f>'Pasture 6A'!E91</f>
        <v>1087.27</v>
      </c>
      <c r="Y98" s="106">
        <f>'Pasture 6B'!E91</f>
        <v>679</v>
      </c>
      <c r="Z98" s="106">
        <f>'Pasture 6C'!E91</f>
        <v>172.899</v>
      </c>
      <c r="AA98" s="106">
        <f>'Pasture 6D'!E91</f>
        <v>800.89</v>
      </c>
      <c r="AB98" s="106">
        <f>'Pasture 6E'!E91</f>
        <v>368.59</v>
      </c>
      <c r="AC98" s="106">
        <f>'Pasture 8'!E92</f>
        <v>329.97</v>
      </c>
      <c r="AD98" s="106">
        <f>'Pasture 9'!E98</f>
        <v>361.6</v>
      </c>
      <c r="AE98" s="106">
        <f>'Pasture 10'!E98</f>
        <v>240.42</v>
      </c>
      <c r="AF98" s="106"/>
      <c r="AG98" s="106">
        <f>'Pasture 11A'!E85</f>
        <v>79.180000000000007</v>
      </c>
      <c r="AH98" s="106">
        <f>'Pasture 11B'!E85</f>
        <v>85.66</v>
      </c>
      <c r="AI98" s="106">
        <f>'Pasture 11C'!E85</f>
        <v>86.75</v>
      </c>
      <c r="AJ98" s="106"/>
      <c r="AK98" s="106">
        <f>'Pasture 12A'!E82</f>
        <v>402.85</v>
      </c>
      <c r="AL98" s="106">
        <f>'Pasture 12B'!E82</f>
        <v>1664.81</v>
      </c>
      <c r="AM98" s="106">
        <f>'Pasture 12C'!E82</f>
        <v>763.69</v>
      </c>
      <c r="AN98" s="106">
        <f>'Pasture 12D'!E82</f>
        <v>433.85</v>
      </c>
      <c r="AO98" s="106"/>
      <c r="AP98" s="106">
        <f>'Pasture 15'!E78</f>
        <v>1707.4</v>
      </c>
      <c r="AQ98" s="106">
        <f>'Pasture 140'!E66</f>
        <v>62.28</v>
      </c>
      <c r="AS98" s="105">
        <v>2004</v>
      </c>
      <c r="AT98" s="111">
        <f t="shared" si="2"/>
        <v>19521.398999999998</v>
      </c>
      <c r="AU98" s="111">
        <v>21472.18</v>
      </c>
      <c r="AV98" s="111">
        <f t="shared" si="3"/>
        <v>90.914844231000288</v>
      </c>
    </row>
    <row r="99" spans="1:48" x14ac:dyDescent="0.3">
      <c r="A99" s="105">
        <v>2005</v>
      </c>
      <c r="B99" s="106">
        <f>'Pasture 1'!E100</f>
        <v>316.62</v>
      </c>
      <c r="C99" s="106"/>
      <c r="D99" s="106">
        <f>'Pasture 2N'!E92</f>
        <v>1856.07</v>
      </c>
      <c r="E99" s="106">
        <f>'Pasture 2SW'!E92</f>
        <v>562.26</v>
      </c>
      <c r="F99" s="106"/>
      <c r="G99" s="106"/>
      <c r="H99" s="106">
        <f>'UA Cell A'!E92</f>
        <v>1409.17</v>
      </c>
      <c r="I99" s="106"/>
      <c r="J99" s="106"/>
      <c r="K99" s="106"/>
      <c r="L99" s="106"/>
      <c r="M99" s="106"/>
      <c r="N99" s="106"/>
      <c r="O99" s="106"/>
      <c r="P99" s="106"/>
      <c r="Q99" s="106">
        <f>'Pasture 3'!E86</f>
        <v>1661.6</v>
      </c>
      <c r="R99" s="106">
        <f>'Pasture 4'!E92</f>
        <v>269.97000000000003</v>
      </c>
      <c r="S99" s="106"/>
      <c r="T99" s="106">
        <f>'Pasture 5N'!E89</f>
        <v>2216.1</v>
      </c>
      <c r="U99" s="106"/>
      <c r="V99" s="106">
        <f>'Pasture 5S'!E89</f>
        <v>1902.5</v>
      </c>
      <c r="W99" s="106"/>
      <c r="X99" s="106">
        <f>'Pasture 6A'!E92</f>
        <v>1087.27</v>
      </c>
      <c r="Y99" s="106">
        <f>'Pasture 6B'!E92</f>
        <v>679</v>
      </c>
      <c r="Z99" s="106">
        <f>'Pasture 6C'!E92</f>
        <v>172.899</v>
      </c>
      <c r="AA99" s="106">
        <f>'Pasture 6D'!E92</f>
        <v>800.89</v>
      </c>
      <c r="AB99" s="106">
        <f>'Pasture 6E'!E92</f>
        <v>368.59</v>
      </c>
      <c r="AC99" s="106">
        <f>'Pasture 8'!E93</f>
        <v>329.97</v>
      </c>
      <c r="AD99" s="106">
        <f>'Pasture 9'!E99</f>
        <v>361.6</v>
      </c>
      <c r="AE99" s="106">
        <f>'Pasture 10'!E99</f>
        <v>240.42</v>
      </c>
      <c r="AF99" s="106"/>
      <c r="AG99" s="106">
        <f>'Pasture 11A'!E86</f>
        <v>79.180000000000007</v>
      </c>
      <c r="AH99" s="106">
        <f>'Pasture 11B'!E86</f>
        <v>85.66</v>
      </c>
      <c r="AI99" s="106">
        <f>'Pasture 11C'!E86</f>
        <v>86.75</v>
      </c>
      <c r="AJ99" s="106"/>
      <c r="AK99" s="106">
        <f>'Pasture 12A'!E83</f>
        <v>402.85</v>
      </c>
      <c r="AL99" s="106">
        <f>'Pasture 12B'!E83</f>
        <v>1664.81</v>
      </c>
      <c r="AM99" s="106">
        <f>'Pasture 12C'!E83</f>
        <v>763.69</v>
      </c>
      <c r="AN99" s="106">
        <f>'Pasture 12D'!E83</f>
        <v>433.85</v>
      </c>
      <c r="AO99" s="106"/>
      <c r="AP99" s="106">
        <f>'Pasture 15'!E79</f>
        <v>1707.4</v>
      </c>
      <c r="AQ99" s="106">
        <f>'Pasture 140'!E67</f>
        <v>62.28</v>
      </c>
      <c r="AS99" s="105">
        <v>2005</v>
      </c>
      <c r="AT99" s="111">
        <f t="shared" si="2"/>
        <v>19521.398999999998</v>
      </c>
      <c r="AU99" s="111">
        <v>21472.18</v>
      </c>
      <c r="AV99" s="111">
        <f t="shared" si="3"/>
        <v>90.914844231000288</v>
      </c>
    </row>
    <row r="100" spans="1:48" x14ac:dyDescent="0.3">
      <c r="A100" s="105">
        <v>2006</v>
      </c>
      <c r="B100" s="106">
        <f>'Pasture 1'!E101</f>
        <v>316.62</v>
      </c>
      <c r="C100" s="106"/>
      <c r="D100" s="106">
        <f>'Pasture 2N'!E93</f>
        <v>1856.07</v>
      </c>
      <c r="E100" s="106">
        <f>'Pasture 2SW'!E93</f>
        <v>562.26</v>
      </c>
      <c r="F100" s="106"/>
      <c r="G100" s="106"/>
      <c r="H100" s="106"/>
      <c r="I100" s="106">
        <f>'UA Cell A'!E93</f>
        <v>222.17</v>
      </c>
      <c r="J100" s="106">
        <f>'UA Cell B'!E93</f>
        <v>223.6</v>
      </c>
      <c r="K100" s="106">
        <f>'UA Cell C'!E93</f>
        <v>147.86000000000001</v>
      </c>
      <c r="L100" s="106">
        <f>'UA Cell D'!E93</f>
        <v>268.47000000000003</v>
      </c>
      <c r="M100" s="106">
        <f>'UA Cell E'!E93</f>
        <v>63.13</v>
      </c>
      <c r="N100" s="106">
        <f>'UA Cell F'!E93</f>
        <v>136.11000000000001</v>
      </c>
      <c r="O100" s="106">
        <f>'UA Cell G'!E93</f>
        <v>178.66</v>
      </c>
      <c r="P100" s="106">
        <f>'UA Cell H'!E93</f>
        <v>183.52</v>
      </c>
      <c r="Q100" s="106">
        <f>'Pasture 3'!E87</f>
        <v>1661.6</v>
      </c>
      <c r="R100" s="106">
        <f>'Pasture 4'!E93</f>
        <v>269.97000000000003</v>
      </c>
      <c r="S100" s="106"/>
      <c r="T100" s="106">
        <f>'Pasture 5N'!E90</f>
        <v>2216.1</v>
      </c>
      <c r="U100" s="106"/>
      <c r="V100" s="106">
        <f>'Pasture 5S'!E90</f>
        <v>1902.5</v>
      </c>
      <c r="W100" s="106"/>
      <c r="X100" s="106">
        <f>'Pasture 6A'!E93</f>
        <v>1087.27</v>
      </c>
      <c r="Y100" s="106">
        <f>'Pasture 6B'!E93</f>
        <v>679</v>
      </c>
      <c r="Z100" s="106">
        <f>'Pasture 6C'!E93</f>
        <v>172.899</v>
      </c>
      <c r="AA100" s="106">
        <f>'Pasture 6D'!E93</f>
        <v>800.89</v>
      </c>
      <c r="AB100" s="106">
        <f>'Pasture 6E'!E93</f>
        <v>368.59</v>
      </c>
      <c r="AC100" s="106">
        <f>'Pasture 8'!E94</f>
        <v>329.97</v>
      </c>
      <c r="AD100" s="106">
        <f>'Pasture 9'!E100</f>
        <v>361.6</v>
      </c>
      <c r="AE100" s="106">
        <f>'Pasture 10'!E100</f>
        <v>240.42</v>
      </c>
      <c r="AF100" s="106"/>
      <c r="AG100" s="106">
        <f>'Pasture 11A'!E87</f>
        <v>79.180000000000007</v>
      </c>
      <c r="AH100" s="106">
        <f>'Pasture 11B'!E87</f>
        <v>85.66</v>
      </c>
      <c r="AI100" s="106">
        <f>'Pasture 11C'!E87</f>
        <v>86.75</v>
      </c>
      <c r="AJ100" s="106"/>
      <c r="AK100" s="106">
        <f>'Pasture 12A'!E84</f>
        <v>402.85</v>
      </c>
      <c r="AL100" s="106">
        <f>'Pasture 12B'!E84</f>
        <v>1664.81</v>
      </c>
      <c r="AM100" s="106">
        <f>'Pasture 12C'!E84</f>
        <v>763.69</v>
      </c>
      <c r="AN100" s="106">
        <f>'Pasture 12D'!E84</f>
        <v>433.85</v>
      </c>
      <c r="AO100" s="106"/>
      <c r="AP100" s="106">
        <f>'Pasture 15'!E80</f>
        <v>1707.4</v>
      </c>
      <c r="AQ100" s="106">
        <f>'Pasture 140'!E68</f>
        <v>62.28</v>
      </c>
      <c r="AS100" s="105">
        <v>2006</v>
      </c>
      <c r="AT100" s="111">
        <f t="shared" si="2"/>
        <v>19535.748999999996</v>
      </c>
      <c r="AU100" s="111">
        <v>21472.18</v>
      </c>
      <c r="AV100" s="111">
        <f t="shared" si="3"/>
        <v>90.98167489281478</v>
      </c>
    </row>
    <row r="101" spans="1:48" x14ac:dyDescent="0.3">
      <c r="A101" s="105">
        <v>2007</v>
      </c>
      <c r="B101" s="106">
        <f>'Pasture 1'!E102</f>
        <v>316.62</v>
      </c>
      <c r="C101" s="106"/>
      <c r="D101" s="106">
        <f>'Pasture 2N'!E94</f>
        <v>1856.07</v>
      </c>
      <c r="E101" s="106">
        <f>'Pasture 2SW'!E94</f>
        <v>562.26</v>
      </c>
      <c r="F101" s="106"/>
      <c r="G101" s="106"/>
      <c r="H101" s="106"/>
      <c r="I101" s="106">
        <f>'UA Cell A'!E94</f>
        <v>222.17</v>
      </c>
      <c r="J101" s="106">
        <f>'UA Cell B'!E94</f>
        <v>223.6</v>
      </c>
      <c r="K101" s="106">
        <f>'UA Cell C'!E94</f>
        <v>147.86000000000001</v>
      </c>
      <c r="L101" s="106">
        <f>'UA Cell D'!E94</f>
        <v>268.47000000000003</v>
      </c>
      <c r="M101" s="106">
        <f>'UA Cell E'!E94</f>
        <v>63.13</v>
      </c>
      <c r="N101" s="106">
        <f>'UA Cell F'!E94</f>
        <v>136.11000000000001</v>
      </c>
      <c r="O101" s="106">
        <f>'UA Cell G'!E94</f>
        <v>178.66</v>
      </c>
      <c r="P101" s="106">
        <f>'UA Cell H'!E94</f>
        <v>183.52</v>
      </c>
      <c r="Q101" s="106">
        <f>'Pasture 3'!E88</f>
        <v>1661.6</v>
      </c>
      <c r="R101" s="106">
        <f>'Pasture 4'!E94</f>
        <v>269.97000000000003</v>
      </c>
      <c r="S101" s="106"/>
      <c r="T101" s="106">
        <f>'Pasture 5N'!E91</f>
        <v>2216.1</v>
      </c>
      <c r="U101" s="106"/>
      <c r="V101" s="106">
        <f>'Pasture 5S'!E91</f>
        <v>1902.5</v>
      </c>
      <c r="W101" s="106"/>
      <c r="X101" s="106">
        <f>'Pasture 6A'!E94</f>
        <v>1087.27</v>
      </c>
      <c r="Y101" s="106">
        <f>'Pasture 6B'!E94</f>
        <v>679</v>
      </c>
      <c r="Z101" s="106">
        <f>'Pasture 6C'!E94</f>
        <v>172.899</v>
      </c>
      <c r="AA101" s="106">
        <f>'Pasture 6D'!E94</f>
        <v>800.89</v>
      </c>
      <c r="AB101" s="106">
        <f>'Pasture 6E'!E94</f>
        <v>368.59</v>
      </c>
      <c r="AC101" s="106">
        <f>'Pasture 8'!E95</f>
        <v>329.97</v>
      </c>
      <c r="AD101" s="106">
        <f>'Pasture 9'!E101</f>
        <v>361.6</v>
      </c>
      <c r="AE101" s="106">
        <f>'Pasture 10'!E101</f>
        <v>240.42</v>
      </c>
      <c r="AF101" s="106"/>
      <c r="AG101" s="106">
        <f>'Pasture 11A'!E88</f>
        <v>79.180000000000007</v>
      </c>
      <c r="AH101" s="106">
        <f>'Pasture 11B'!E88</f>
        <v>85.66</v>
      </c>
      <c r="AI101" s="106">
        <f>'Pasture 11C'!E88</f>
        <v>86.75</v>
      </c>
      <c r="AJ101" s="106"/>
      <c r="AK101" s="106">
        <f>'Pasture 12A'!E85</f>
        <v>402.85</v>
      </c>
      <c r="AL101" s="106">
        <f>'Pasture 12B'!E85</f>
        <v>1664.81</v>
      </c>
      <c r="AM101" s="106">
        <f>'Pasture 12C'!E85</f>
        <v>763.69</v>
      </c>
      <c r="AN101" s="106">
        <f>'Pasture 12D'!E85</f>
        <v>433.85</v>
      </c>
      <c r="AO101" s="106"/>
      <c r="AP101" s="106">
        <f>'Pasture 15'!E81</f>
        <v>1707.4</v>
      </c>
      <c r="AQ101" s="106">
        <f>'Pasture 140'!E69</f>
        <v>62.28</v>
      </c>
      <c r="AS101" s="105">
        <v>2007</v>
      </c>
      <c r="AT101" s="111">
        <f t="shared" si="2"/>
        <v>19535.748999999996</v>
      </c>
      <c r="AU101" s="111">
        <v>21472.18</v>
      </c>
      <c r="AV101" s="111">
        <f t="shared" si="3"/>
        <v>90.98167489281478</v>
      </c>
    </row>
    <row r="102" spans="1:48" x14ac:dyDescent="0.3">
      <c r="A102" s="105">
        <v>2008</v>
      </c>
      <c r="B102" s="106">
        <f>'Pasture 1'!E103</f>
        <v>316.62</v>
      </c>
      <c r="C102" s="106"/>
      <c r="D102" s="106">
        <f>'Pasture 2N'!E95</f>
        <v>1856.07</v>
      </c>
      <c r="E102" s="106">
        <f>'Pasture 2SW'!E95</f>
        <v>562.26</v>
      </c>
      <c r="F102" s="106"/>
      <c r="G102" s="106"/>
      <c r="H102" s="106"/>
      <c r="I102" s="106">
        <f>'UA Cell A'!E95</f>
        <v>222.17</v>
      </c>
      <c r="J102" s="106">
        <f>'UA Cell B'!E95</f>
        <v>223.6</v>
      </c>
      <c r="K102" s="106">
        <f>'UA Cell C'!E95</f>
        <v>147.86000000000001</v>
      </c>
      <c r="L102" s="106">
        <f>'UA Cell D'!E95</f>
        <v>268.47000000000003</v>
      </c>
      <c r="M102" s="106">
        <f>'UA Cell E'!E95</f>
        <v>63.13</v>
      </c>
      <c r="N102" s="106">
        <f>'UA Cell F'!E95</f>
        <v>136.11000000000001</v>
      </c>
      <c r="O102" s="106">
        <f>'UA Cell G'!E95</f>
        <v>178.66</v>
      </c>
      <c r="P102" s="106">
        <f>'UA Cell H'!E95</f>
        <v>183.52</v>
      </c>
      <c r="Q102" s="106">
        <f>'Pasture 3'!E89</f>
        <v>1661.6</v>
      </c>
      <c r="R102" s="106">
        <f>'Pasture 4'!E95</f>
        <v>269.97000000000003</v>
      </c>
      <c r="S102" s="106"/>
      <c r="T102" s="106">
        <f>'Pasture 5N'!E92</f>
        <v>819.96</v>
      </c>
      <c r="U102" s="106">
        <f>'Pasture 5Mid'!E92</f>
        <v>1396.1</v>
      </c>
      <c r="V102" s="106">
        <f>'Pasture 5S'!E92</f>
        <v>1902.5</v>
      </c>
      <c r="W102" s="106"/>
      <c r="X102" s="106">
        <f>'Pasture 6A'!E95</f>
        <v>1087.27</v>
      </c>
      <c r="Y102" s="106">
        <f>'Pasture 6B'!E95</f>
        <v>679</v>
      </c>
      <c r="Z102" s="106">
        <f>'Pasture 6C'!E95</f>
        <v>172.899</v>
      </c>
      <c r="AA102" s="106">
        <f>'Pasture 6D'!E95</f>
        <v>800.89</v>
      </c>
      <c r="AB102" s="106">
        <f>'Pasture 6E'!E95</f>
        <v>368.59</v>
      </c>
      <c r="AC102" s="106">
        <f>'Pasture 8'!E96</f>
        <v>329.97</v>
      </c>
      <c r="AD102" s="106">
        <f>'Pasture 9'!E102</f>
        <v>361.6</v>
      </c>
      <c r="AE102" s="106">
        <f>'Pasture 10'!E102</f>
        <v>240.42</v>
      </c>
      <c r="AF102" s="106"/>
      <c r="AG102" s="106">
        <f>'Pasture 11A'!E89</f>
        <v>79.180000000000007</v>
      </c>
      <c r="AH102" s="106">
        <f>'Pasture 11B'!E89</f>
        <v>85.66</v>
      </c>
      <c r="AI102" s="106">
        <f>'Pasture 11C'!E89</f>
        <v>86.75</v>
      </c>
      <c r="AJ102" s="106"/>
      <c r="AK102" s="106">
        <f>'Pasture 12A'!E86</f>
        <v>402.85</v>
      </c>
      <c r="AL102" s="106">
        <f>'Pasture 12B'!E86</f>
        <v>1664.81</v>
      </c>
      <c r="AM102" s="106">
        <f>'Pasture 12C'!E86</f>
        <v>763.69</v>
      </c>
      <c r="AN102" s="106">
        <f>'Pasture 12D'!E86</f>
        <v>433.85</v>
      </c>
      <c r="AO102" s="106"/>
      <c r="AP102" s="106">
        <f>'Pasture 15'!E82</f>
        <v>1707.4</v>
      </c>
      <c r="AQ102" s="106">
        <f>'Pasture 140'!E70</f>
        <v>62.28</v>
      </c>
      <c r="AS102" s="105">
        <v>2008</v>
      </c>
      <c r="AT102" s="111">
        <f t="shared" si="2"/>
        <v>19535.708999999999</v>
      </c>
      <c r="AU102" s="111">
        <v>21472.18</v>
      </c>
      <c r="AV102" s="111">
        <f t="shared" si="3"/>
        <v>90.98148860525572</v>
      </c>
    </row>
    <row r="103" spans="1:48" x14ac:dyDescent="0.3">
      <c r="A103" s="105">
        <v>2009</v>
      </c>
      <c r="B103" s="106">
        <f>'Pasture 1'!E104</f>
        <v>316.62</v>
      </c>
      <c r="C103" s="106"/>
      <c r="D103" s="106">
        <f>'Pasture 2N'!E96</f>
        <v>1856.07</v>
      </c>
      <c r="E103" s="106">
        <f>'Pasture 2SW'!E96</f>
        <v>562.26</v>
      </c>
      <c r="F103" s="106"/>
      <c r="G103" s="106"/>
      <c r="H103" s="106"/>
      <c r="I103" s="106">
        <f>'UA Cell A'!E96</f>
        <v>222.17</v>
      </c>
      <c r="J103" s="106">
        <f>'UA Cell B'!E96</f>
        <v>223.6</v>
      </c>
      <c r="K103" s="106">
        <f>'UA Cell C'!E96</f>
        <v>147.86000000000001</v>
      </c>
      <c r="L103" s="106">
        <f>'UA Cell D'!E96</f>
        <v>268.47000000000003</v>
      </c>
      <c r="M103" s="106">
        <f>'UA Cell E'!E96</f>
        <v>63.13</v>
      </c>
      <c r="N103" s="106">
        <f>'UA Cell F'!E96</f>
        <v>136.11000000000001</v>
      </c>
      <c r="O103" s="106">
        <f>'UA Cell G'!E96</f>
        <v>178.66</v>
      </c>
      <c r="P103" s="106">
        <f>'UA Cell H'!E96</f>
        <v>183.52</v>
      </c>
      <c r="Q103" s="106">
        <f>'Pasture 3'!E90</f>
        <v>1661.6</v>
      </c>
      <c r="R103" s="106">
        <f>'Pasture 4'!E96</f>
        <v>269.97000000000003</v>
      </c>
      <c r="S103" s="106"/>
      <c r="T103" s="106">
        <f>'Pasture 5N'!E93</f>
        <v>819.96</v>
      </c>
      <c r="U103" s="106">
        <f>'Pasture 5Mid'!E93</f>
        <v>1396.1</v>
      </c>
      <c r="V103" s="106">
        <f>'Pasture 5S'!E93</f>
        <v>1902.5</v>
      </c>
      <c r="W103" s="106"/>
      <c r="X103" s="106">
        <f>'Pasture 6A'!E96</f>
        <v>1087.27</v>
      </c>
      <c r="Y103" s="106">
        <f>'Pasture 6B'!E96</f>
        <v>679</v>
      </c>
      <c r="Z103" s="106">
        <f>'Pasture 6C'!E96</f>
        <v>172.899</v>
      </c>
      <c r="AA103" s="106">
        <f>'Pasture 6D'!E96</f>
        <v>800.89</v>
      </c>
      <c r="AB103" s="106">
        <f>'Pasture 6E'!E96</f>
        <v>368.59</v>
      </c>
      <c r="AC103" s="106">
        <f>'Pasture 8'!E97</f>
        <v>329.97</v>
      </c>
      <c r="AD103" s="106">
        <f>'Pasture 9'!E103</f>
        <v>361.6</v>
      </c>
      <c r="AE103" s="106">
        <f>'Pasture 10'!E103</f>
        <v>240.42</v>
      </c>
      <c r="AF103" s="106"/>
      <c r="AG103" s="106">
        <f>'Pasture 11A'!E90</f>
        <v>79.180000000000007</v>
      </c>
      <c r="AH103" s="106">
        <f>'Pasture 11B'!E90</f>
        <v>85.66</v>
      </c>
      <c r="AI103" s="106">
        <f>'Pasture 11C'!E90</f>
        <v>86.75</v>
      </c>
      <c r="AJ103" s="106"/>
      <c r="AK103" s="106">
        <f>'Pasture 12A'!E87</f>
        <v>402.85</v>
      </c>
      <c r="AL103" s="106">
        <f>'Pasture 12B'!E87</f>
        <v>1664.81</v>
      </c>
      <c r="AM103" s="106">
        <f>'Pasture 12C'!E87</f>
        <v>763.69</v>
      </c>
      <c r="AN103" s="106">
        <f>'Pasture 12D'!E87</f>
        <v>433.85</v>
      </c>
      <c r="AO103" s="106"/>
      <c r="AP103" s="106">
        <f>'Pasture 15'!E83</f>
        <v>1707.4</v>
      </c>
      <c r="AQ103" s="106">
        <f>'Pasture 140'!E71</f>
        <v>62.28</v>
      </c>
      <c r="AS103" s="105">
        <v>2009</v>
      </c>
      <c r="AT103" s="111">
        <f t="shared" si="2"/>
        <v>19535.708999999999</v>
      </c>
      <c r="AU103" s="111">
        <v>21472.18</v>
      </c>
      <c r="AV103" s="111">
        <f t="shared" si="3"/>
        <v>90.98148860525572</v>
      </c>
    </row>
    <row r="104" spans="1:48" x14ac:dyDescent="0.3">
      <c r="A104" s="116">
        <v>2010</v>
      </c>
      <c r="B104" s="117">
        <f>'Pasture 1'!E105</f>
        <v>316.62</v>
      </c>
      <c r="C104" s="117"/>
      <c r="D104" s="117">
        <f>'Pasture 2N'!E97</f>
        <v>1856.07</v>
      </c>
      <c r="E104" s="106">
        <f>'Pasture 2SW'!E97</f>
        <v>562.26</v>
      </c>
      <c r="F104" s="117"/>
      <c r="G104" s="117"/>
      <c r="H104" s="117"/>
      <c r="I104" s="106">
        <f>'UA Cell A'!E97</f>
        <v>222.17</v>
      </c>
      <c r="J104" s="106">
        <f>'UA Cell B'!E97</f>
        <v>223.6</v>
      </c>
      <c r="K104" s="106">
        <f>'UA Cell C'!E97</f>
        <v>147.86000000000001</v>
      </c>
      <c r="L104" s="106">
        <f>'UA Cell D'!E97</f>
        <v>268.47000000000003</v>
      </c>
      <c r="M104" s="106">
        <f>'UA Cell E'!E97</f>
        <v>63.13</v>
      </c>
      <c r="N104" s="106">
        <f>'UA Cell F'!E97</f>
        <v>136.11000000000001</v>
      </c>
      <c r="O104" s="106">
        <f>'UA Cell G'!E97</f>
        <v>178.66</v>
      </c>
      <c r="P104" s="106">
        <f>'UA Cell H'!E97</f>
        <v>183.52</v>
      </c>
      <c r="Q104" s="117">
        <f>'Pasture 3'!E91</f>
        <v>1661.6</v>
      </c>
      <c r="R104" s="117">
        <f>'Pasture 4'!E97</f>
        <v>269.97000000000003</v>
      </c>
      <c r="S104" s="117"/>
      <c r="T104" s="117">
        <f>'Pasture 5N'!E94</f>
        <v>819.96</v>
      </c>
      <c r="U104" s="117">
        <f>'Pasture 5Mid'!E94</f>
        <v>1396.1</v>
      </c>
      <c r="V104" s="117">
        <f>'Pasture 5S'!E94</f>
        <v>1902.5</v>
      </c>
      <c r="W104" s="117"/>
      <c r="X104" s="117">
        <f>'Pasture 6A'!E97</f>
        <v>1087.27</v>
      </c>
      <c r="Y104" s="106">
        <f>'Pasture 6B'!E97</f>
        <v>679</v>
      </c>
      <c r="Z104" s="106">
        <f>'Pasture 6C'!E97</f>
        <v>172.899</v>
      </c>
      <c r="AA104" s="106">
        <f>'Pasture 6D'!E97</f>
        <v>800.89</v>
      </c>
      <c r="AB104" s="117">
        <f>'Pasture 6E'!E97</f>
        <v>368.59</v>
      </c>
      <c r="AC104" s="117">
        <f>'Pasture 8'!E98</f>
        <v>329.97</v>
      </c>
      <c r="AD104" s="117">
        <f>'Pasture 9'!E104</f>
        <v>361.6</v>
      </c>
      <c r="AE104" s="117">
        <f>'Pasture 10'!E104</f>
        <v>240.42</v>
      </c>
      <c r="AF104" s="106"/>
      <c r="AG104" s="117">
        <f>'Pasture 11A'!E91</f>
        <v>79.180000000000007</v>
      </c>
      <c r="AH104" s="117">
        <f>'Pasture 11B'!E91</f>
        <v>85.66</v>
      </c>
      <c r="AI104" s="117">
        <f>'Pasture 11C'!E91</f>
        <v>86.75</v>
      </c>
      <c r="AJ104" s="117"/>
      <c r="AK104" s="117">
        <f>'Pasture 12A'!E88</f>
        <v>402.85</v>
      </c>
      <c r="AL104" s="117">
        <f>'Pasture 12B'!E88</f>
        <v>1664.81</v>
      </c>
      <c r="AM104" s="117">
        <f>'Pasture 12C'!E88</f>
        <v>763.69</v>
      </c>
      <c r="AN104" s="106">
        <f>'Pasture 12D'!E88</f>
        <v>433.85</v>
      </c>
      <c r="AO104" s="117"/>
      <c r="AP104" s="117">
        <f>'Pasture 15'!E84</f>
        <v>1707.4</v>
      </c>
      <c r="AQ104" s="117">
        <f>'Pasture 140'!E72</f>
        <v>62.28</v>
      </c>
      <c r="AS104" s="105">
        <v>2010</v>
      </c>
      <c r="AT104" s="111">
        <f t="shared" si="2"/>
        <v>19535.708999999999</v>
      </c>
      <c r="AU104" s="111">
        <v>21472.18</v>
      </c>
      <c r="AV104" s="111">
        <f t="shared" si="3"/>
        <v>90.98148860525572</v>
      </c>
    </row>
    <row r="105" spans="1:48" x14ac:dyDescent="0.3">
      <c r="A105" s="105">
        <v>2011</v>
      </c>
      <c r="B105" s="106">
        <f>'Pasture 1'!E106</f>
        <v>316.62</v>
      </c>
      <c r="C105" s="106"/>
      <c r="D105" s="106">
        <f>'Pasture 2N'!E98</f>
        <v>1856.07</v>
      </c>
      <c r="E105" s="106">
        <f>'Pasture 2SW'!E98</f>
        <v>562.26</v>
      </c>
      <c r="F105" s="106"/>
      <c r="G105" s="106"/>
      <c r="H105" s="106"/>
      <c r="I105" s="106">
        <f>'UA Cell A'!E98</f>
        <v>222.17</v>
      </c>
      <c r="J105" s="106">
        <f>'UA Cell B'!E98</f>
        <v>223.6</v>
      </c>
      <c r="K105" s="106">
        <f>'UA Cell C'!E98</f>
        <v>147.86000000000001</v>
      </c>
      <c r="L105" s="106">
        <f>'UA Cell D'!E98</f>
        <v>268.47000000000003</v>
      </c>
      <c r="M105" s="106">
        <f>'UA Cell E'!E98</f>
        <v>63.13</v>
      </c>
      <c r="N105" s="106">
        <f>'UA Cell F'!E98</f>
        <v>136.11000000000001</v>
      </c>
      <c r="O105" s="106">
        <f>'UA Cell G'!E98</f>
        <v>178.66</v>
      </c>
      <c r="P105" s="106">
        <f>'UA Cell H'!E98</f>
        <v>183.52</v>
      </c>
      <c r="Q105" s="106">
        <f>'Pasture 3'!E92</f>
        <v>1661.6</v>
      </c>
      <c r="R105" s="106">
        <f>'Pasture 4'!E98</f>
        <v>269.97000000000003</v>
      </c>
      <c r="S105" s="106"/>
      <c r="T105" s="106">
        <f>'Pasture 5N'!E95</f>
        <v>819.96</v>
      </c>
      <c r="U105" s="106">
        <f>'Pasture 5Mid'!E95</f>
        <v>1396.1</v>
      </c>
      <c r="V105" s="106">
        <f>'Pasture 5S'!E95</f>
        <v>1902.5</v>
      </c>
      <c r="W105" s="106"/>
      <c r="X105" s="106">
        <f>'Pasture 6A'!E98</f>
        <v>1087.27</v>
      </c>
      <c r="Y105" s="106">
        <f>'Pasture 6B'!E98</f>
        <v>679</v>
      </c>
      <c r="Z105" s="106">
        <f>'Pasture 6C'!E98</f>
        <v>172.899</v>
      </c>
      <c r="AA105" s="106">
        <f>'Pasture 6D'!E98</f>
        <v>800.89</v>
      </c>
      <c r="AB105" s="106">
        <f>'Pasture 6E'!E98</f>
        <v>368.59</v>
      </c>
      <c r="AC105" s="106">
        <f>'Pasture 8'!E99</f>
        <v>329.97</v>
      </c>
      <c r="AD105" s="106">
        <f>'Pasture 9'!E105</f>
        <v>361.6</v>
      </c>
      <c r="AE105" s="106">
        <f>'Pasture 10'!E105</f>
        <v>240.42</v>
      </c>
      <c r="AF105" s="106"/>
      <c r="AG105" s="106">
        <f>'Pasture 11A'!E92</f>
        <v>79.180000000000007</v>
      </c>
      <c r="AH105" s="106">
        <f>'Pasture 11B'!E92</f>
        <v>85.66</v>
      </c>
      <c r="AI105" s="106">
        <f>'Pasture 11C'!E92</f>
        <v>86.75</v>
      </c>
      <c r="AJ105" s="106"/>
      <c r="AK105" s="106">
        <f>'Pasture 12A'!E89</f>
        <v>402.85</v>
      </c>
      <c r="AL105" s="106">
        <f>'Pasture 12B'!E89</f>
        <v>1664.81</v>
      </c>
      <c r="AM105" s="106">
        <f>'Pasture 12C'!E89</f>
        <v>763.69</v>
      </c>
      <c r="AN105" s="106">
        <f>'Pasture 12D'!E89</f>
        <v>433.85</v>
      </c>
      <c r="AO105" s="106"/>
      <c r="AP105" s="106">
        <f>'Pasture 15'!E85</f>
        <v>1707.4</v>
      </c>
      <c r="AQ105" s="106">
        <f>'Pasture 140'!E73</f>
        <v>62.28</v>
      </c>
      <c r="AS105" s="105">
        <v>2011</v>
      </c>
      <c r="AT105" s="111">
        <f t="shared" si="2"/>
        <v>19535.708999999999</v>
      </c>
      <c r="AU105" s="111">
        <v>21472.18</v>
      </c>
      <c r="AV105" s="111">
        <f t="shared" ref="AV105:AV114" si="4">(AT105/AU105)*100</f>
        <v>90.98148860525572</v>
      </c>
    </row>
    <row r="106" spans="1:48" x14ac:dyDescent="0.3">
      <c r="A106" s="105">
        <v>2012</v>
      </c>
      <c r="B106" s="106">
        <f>'Pasture 1'!E107</f>
        <v>316.62</v>
      </c>
      <c r="C106" s="106"/>
      <c r="D106" s="106">
        <f>'Pasture 2N'!E99</f>
        <v>1856.07</v>
      </c>
      <c r="E106" s="106">
        <f>'Pasture 2SW'!E99</f>
        <v>562.26</v>
      </c>
      <c r="F106" s="106"/>
      <c r="G106" s="106"/>
      <c r="H106" s="106"/>
      <c r="I106" s="106">
        <f>'UA Cell A'!E99</f>
        <v>222.17</v>
      </c>
      <c r="J106" s="106">
        <f>'UA Cell B'!E99</f>
        <v>223.6</v>
      </c>
      <c r="K106" s="106">
        <f>'UA Cell C'!E99</f>
        <v>147.86000000000001</v>
      </c>
      <c r="L106" s="106">
        <f>'UA Cell D'!E99</f>
        <v>268.47000000000003</v>
      </c>
      <c r="M106" s="106">
        <f>'UA Cell E'!E99</f>
        <v>63.13</v>
      </c>
      <c r="N106" s="106">
        <f>'UA Cell F'!E99</f>
        <v>136.11000000000001</v>
      </c>
      <c r="O106" s="106">
        <f>'UA Cell G'!E99</f>
        <v>178.66</v>
      </c>
      <c r="P106" s="106">
        <f>'UA Cell H'!E99</f>
        <v>183.52</v>
      </c>
      <c r="Q106" s="106">
        <f>'Pasture 3'!E93</f>
        <v>1661.6</v>
      </c>
      <c r="R106" s="106">
        <f>'Pasture 4'!E99</f>
        <v>269.97000000000003</v>
      </c>
      <c r="S106" s="106"/>
      <c r="T106" s="106">
        <f>'Pasture 5N'!E96</f>
        <v>819.96</v>
      </c>
      <c r="U106" s="106">
        <f>'Pasture 5Mid'!E96</f>
        <v>1396.1</v>
      </c>
      <c r="V106" s="106">
        <f>'Pasture 5S'!E96</f>
        <v>1902.5</v>
      </c>
      <c r="W106" s="106"/>
      <c r="X106" s="106">
        <f>'Pasture 6A'!E99</f>
        <v>1087.27</v>
      </c>
      <c r="Y106" s="106">
        <f>'Pasture 6B'!E99</f>
        <v>679</v>
      </c>
      <c r="Z106" s="106">
        <f>'Pasture 6C'!E99</f>
        <v>172.899</v>
      </c>
      <c r="AA106" s="106">
        <f>'Pasture 6D'!E99</f>
        <v>800.89</v>
      </c>
      <c r="AB106" s="106">
        <f>'Pasture 6E'!E99</f>
        <v>368.59</v>
      </c>
      <c r="AC106" s="106">
        <f>'Pasture 8'!E100</f>
        <v>329.97</v>
      </c>
      <c r="AD106" s="106">
        <f>'Pasture 9'!E106</f>
        <v>361.6</v>
      </c>
      <c r="AE106" s="106">
        <f>'Pasture 10'!E106</f>
        <v>240.42</v>
      </c>
      <c r="AF106" s="106"/>
      <c r="AG106" s="106">
        <f>'Pasture 11A'!E93</f>
        <v>79.180000000000007</v>
      </c>
      <c r="AH106" s="106">
        <f>'Pasture 11B'!E93</f>
        <v>85.66</v>
      </c>
      <c r="AI106" s="106">
        <f>'Pasture 11C'!E93</f>
        <v>86.75</v>
      </c>
      <c r="AJ106" s="106"/>
      <c r="AK106" s="106">
        <f>'Pasture 12A'!E90</f>
        <v>402.85</v>
      </c>
      <c r="AL106" s="106">
        <f>'Pasture 12B'!E90</f>
        <v>1664.81</v>
      </c>
      <c r="AM106" s="106">
        <f>'Pasture 12C'!E90</f>
        <v>763.69</v>
      </c>
      <c r="AN106" s="106">
        <f>'Pasture 12D'!E90</f>
        <v>433.85</v>
      </c>
      <c r="AO106" s="106"/>
      <c r="AP106" s="106">
        <f>'Pasture 15'!E86</f>
        <v>1707.4</v>
      </c>
      <c r="AQ106" s="106">
        <f>'Pasture 140'!E74</f>
        <v>62.28</v>
      </c>
      <c r="AS106" s="105">
        <v>2012</v>
      </c>
      <c r="AT106" s="111">
        <f t="shared" si="2"/>
        <v>19535.708999999999</v>
      </c>
      <c r="AU106" s="111">
        <v>21472.18</v>
      </c>
      <c r="AV106" s="111">
        <f t="shared" si="4"/>
        <v>90.98148860525572</v>
      </c>
    </row>
    <row r="107" spans="1:48" x14ac:dyDescent="0.3">
      <c r="A107" s="105">
        <v>2013</v>
      </c>
      <c r="B107" s="106">
        <f>'Pasture 1'!E108</f>
        <v>316.62</v>
      </c>
      <c r="C107" s="106"/>
      <c r="D107" s="106">
        <f>'Pasture 2N'!E100</f>
        <v>1856.07</v>
      </c>
      <c r="E107" s="106">
        <f>'Pasture 2SW'!E100</f>
        <v>562.26</v>
      </c>
      <c r="F107" s="106"/>
      <c r="G107" s="106"/>
      <c r="H107" s="106"/>
      <c r="I107" s="106">
        <f>'UA Cell A'!E100</f>
        <v>222.17</v>
      </c>
      <c r="J107" s="106">
        <f>'UA Cell B'!E100</f>
        <v>223.6</v>
      </c>
      <c r="K107" s="106">
        <f>'UA Cell C'!E100</f>
        <v>147.86000000000001</v>
      </c>
      <c r="L107" s="106">
        <f>'UA Cell D'!E100</f>
        <v>268.47000000000003</v>
      </c>
      <c r="M107" s="106">
        <f>'UA Cell E'!E100</f>
        <v>63.13</v>
      </c>
      <c r="N107" s="106">
        <f>'UA Cell F'!E100</f>
        <v>136.11000000000001</v>
      </c>
      <c r="O107" s="106">
        <f>'UA Cell G'!E100</f>
        <v>178.66</v>
      </c>
      <c r="P107" s="106">
        <f>'UA Cell H'!E100</f>
        <v>183.52</v>
      </c>
      <c r="Q107" s="106">
        <f>'Pasture 3'!E94</f>
        <v>1661.6</v>
      </c>
      <c r="R107" s="106">
        <f>'Pasture 4'!E100</f>
        <v>269.97000000000003</v>
      </c>
      <c r="S107" s="106"/>
      <c r="T107" s="106">
        <f>'Pasture 5N'!E97</f>
        <v>819.96</v>
      </c>
      <c r="U107" s="106">
        <f>'Pasture 5Mid'!E97</f>
        <v>1396.1</v>
      </c>
      <c r="V107" s="106">
        <f>'Pasture 5S'!E97</f>
        <v>1902.5</v>
      </c>
      <c r="W107" s="106"/>
      <c r="X107" s="106">
        <f>'Pasture 6A'!E100</f>
        <v>1087.27</v>
      </c>
      <c r="Y107" s="106">
        <f>'Pasture 6B'!E100</f>
        <v>679</v>
      </c>
      <c r="Z107" s="106">
        <f>'Pasture 6C'!E100</f>
        <v>172.899</v>
      </c>
      <c r="AA107" s="106">
        <f>'Pasture 6D'!E100</f>
        <v>800.89</v>
      </c>
      <c r="AB107" s="106">
        <f>'Pasture 6E'!E100</f>
        <v>368.59</v>
      </c>
      <c r="AC107" s="106">
        <f>'Pasture 8'!E101</f>
        <v>329.97</v>
      </c>
      <c r="AD107" s="106">
        <f>'Pasture 9'!E107</f>
        <v>361.6</v>
      </c>
      <c r="AE107" s="106">
        <f>'Pasture 10'!E107</f>
        <v>240.42</v>
      </c>
      <c r="AF107" s="106"/>
      <c r="AG107" s="106">
        <f>'Pasture 11A'!E94</f>
        <v>79.180000000000007</v>
      </c>
      <c r="AH107" s="106">
        <f>'Pasture 11B'!E94</f>
        <v>85.66</v>
      </c>
      <c r="AI107" s="106">
        <f>'Pasture 11C'!E94</f>
        <v>86.75</v>
      </c>
      <c r="AJ107" s="106"/>
      <c r="AK107" s="106">
        <f>'Pasture 12A'!E91</f>
        <v>402.85</v>
      </c>
      <c r="AL107" s="106">
        <f>'Pasture 12B'!E91</f>
        <v>1664.81</v>
      </c>
      <c r="AM107" s="106">
        <f>'Pasture 12C'!E91</f>
        <v>763.69</v>
      </c>
      <c r="AN107" s="106">
        <f>'Pasture 12D'!E91</f>
        <v>433.85</v>
      </c>
      <c r="AO107" s="106"/>
      <c r="AP107" s="106">
        <f>'Pasture 15'!E87</f>
        <v>1707.4</v>
      </c>
      <c r="AQ107" s="106">
        <f>'Pasture 140'!E75</f>
        <v>62.28</v>
      </c>
      <c r="AS107" s="105">
        <v>2013</v>
      </c>
      <c r="AT107" s="111">
        <f t="shared" si="2"/>
        <v>19535.708999999999</v>
      </c>
      <c r="AU107" s="111">
        <v>21472.18</v>
      </c>
      <c r="AV107" s="111">
        <f t="shared" si="4"/>
        <v>90.98148860525572</v>
      </c>
    </row>
    <row r="108" spans="1:48" x14ac:dyDescent="0.3">
      <c r="A108" s="105">
        <v>2014</v>
      </c>
      <c r="B108" s="106">
        <f>'Pasture 1'!E109</f>
        <v>316.62</v>
      </c>
      <c r="C108" s="106"/>
      <c r="D108" s="106">
        <f>'Pasture 2N'!E101</f>
        <v>1856.07</v>
      </c>
      <c r="E108" s="106">
        <f>'Pasture 2SW'!E101</f>
        <v>562.26</v>
      </c>
      <c r="F108" s="106"/>
      <c r="G108" s="106"/>
      <c r="H108" s="106"/>
      <c r="I108" s="106">
        <f>'UA Cell A'!E101</f>
        <v>222.17</v>
      </c>
      <c r="J108" s="106">
        <f>'UA Cell B'!E101</f>
        <v>223.6</v>
      </c>
      <c r="K108" s="106">
        <f>'UA Cell C'!E101</f>
        <v>147.86000000000001</v>
      </c>
      <c r="L108" s="106">
        <f>'UA Cell D'!E101</f>
        <v>268.47000000000003</v>
      </c>
      <c r="M108" s="106">
        <f>'UA Cell E'!E101</f>
        <v>63.13</v>
      </c>
      <c r="N108" s="106">
        <f>'UA Cell F'!E101</f>
        <v>136.11000000000001</v>
      </c>
      <c r="O108" s="106">
        <f>'UA Cell G'!E101</f>
        <v>178.66</v>
      </c>
      <c r="P108" s="106">
        <f>'UA Cell H'!E101</f>
        <v>183.52</v>
      </c>
      <c r="Q108" s="106">
        <f>'Pasture 3'!E95</f>
        <v>1661.6</v>
      </c>
      <c r="R108" s="106">
        <f>'Pasture 4'!E101</f>
        <v>269.97000000000003</v>
      </c>
      <c r="S108" s="106"/>
      <c r="T108" s="106">
        <f>'Pasture 5N'!E98</f>
        <v>819.96</v>
      </c>
      <c r="U108" s="106">
        <f>'Pasture 5Mid'!E98</f>
        <v>1396.1</v>
      </c>
      <c r="V108" s="106">
        <f>'Pasture 5S'!E98</f>
        <v>1902.5</v>
      </c>
      <c r="W108" s="106"/>
      <c r="X108" s="106">
        <f>'Pasture 6A'!E101</f>
        <v>1087.27</v>
      </c>
      <c r="Y108" s="106">
        <f>'Pasture 6B'!E101</f>
        <v>679</v>
      </c>
      <c r="Z108" s="106">
        <f>'Pasture 6C'!E101</f>
        <v>172.899</v>
      </c>
      <c r="AA108" s="106">
        <f>'Pasture 6D'!E101</f>
        <v>800.89</v>
      </c>
      <c r="AB108" s="106">
        <f>'Pasture 6E'!E101</f>
        <v>368.59</v>
      </c>
      <c r="AC108" s="106">
        <f>'Pasture 8'!E102</f>
        <v>329.97</v>
      </c>
      <c r="AD108" s="106">
        <f>'Pasture 9'!E108</f>
        <v>361.6</v>
      </c>
      <c r="AE108" s="106">
        <f>'Pasture 10'!E108</f>
        <v>240.42</v>
      </c>
      <c r="AF108" s="106"/>
      <c r="AG108" s="106">
        <f>'Pasture 11A'!E95</f>
        <v>79.180000000000007</v>
      </c>
      <c r="AH108" s="106">
        <f>'Pasture 11B'!E95</f>
        <v>85.66</v>
      </c>
      <c r="AI108" s="106">
        <f>'Pasture 11C'!E95</f>
        <v>86.75</v>
      </c>
      <c r="AJ108" s="106"/>
      <c r="AK108" s="106">
        <f>'Pasture 12A'!E92</f>
        <v>402.85</v>
      </c>
      <c r="AL108" s="106">
        <f>'Pasture 12B'!E92</f>
        <v>1664.81</v>
      </c>
      <c r="AM108" s="106">
        <f>'Pasture 12C'!E92</f>
        <v>763.69</v>
      </c>
      <c r="AN108" s="106">
        <f>'Pasture 12D'!E92</f>
        <v>433.85</v>
      </c>
      <c r="AO108" s="106"/>
      <c r="AP108" s="106">
        <f>'Pasture 15'!E88</f>
        <v>1707.4</v>
      </c>
      <c r="AQ108" s="106">
        <f>'Pasture 140'!E76</f>
        <v>62.28</v>
      </c>
      <c r="AS108" s="105">
        <v>2014</v>
      </c>
      <c r="AT108" s="111">
        <f t="shared" si="2"/>
        <v>19535.708999999999</v>
      </c>
      <c r="AU108" s="111">
        <v>21472.18</v>
      </c>
      <c r="AV108" s="111">
        <f t="shared" si="4"/>
        <v>90.98148860525572</v>
      </c>
    </row>
    <row r="109" spans="1:48" x14ac:dyDescent="0.3">
      <c r="A109" s="105">
        <v>2015</v>
      </c>
      <c r="B109" s="106">
        <f>'Pasture 1'!E110</f>
        <v>316.62</v>
      </c>
      <c r="C109" s="106"/>
      <c r="D109" s="106">
        <f>'Pasture 2N'!E102</f>
        <v>1856.07</v>
      </c>
      <c r="E109" s="106">
        <f>'Pasture 2SW'!E102</f>
        <v>562.26</v>
      </c>
      <c r="F109" s="106"/>
      <c r="G109" s="106"/>
      <c r="H109" s="106"/>
      <c r="I109" s="106">
        <f>'UA Cell A'!E102</f>
        <v>222.17</v>
      </c>
      <c r="J109" s="106">
        <f>'UA Cell B'!E102</f>
        <v>223.6</v>
      </c>
      <c r="K109" s="106">
        <f>'UA Cell C'!E102</f>
        <v>147.86000000000001</v>
      </c>
      <c r="L109" s="106">
        <f>'UA Cell D'!E102</f>
        <v>268.47000000000003</v>
      </c>
      <c r="M109" s="106">
        <f>'UA Cell E'!E102</f>
        <v>63.13</v>
      </c>
      <c r="N109" s="106">
        <f>'UA Cell F'!E102</f>
        <v>136.11000000000001</v>
      </c>
      <c r="O109" s="106">
        <f>'UA Cell G'!E102</f>
        <v>178.66</v>
      </c>
      <c r="P109" s="106">
        <f>'UA Cell H'!E102</f>
        <v>183.52</v>
      </c>
      <c r="Q109" s="106">
        <f>'Pasture 3'!E96</f>
        <v>1661.6</v>
      </c>
      <c r="R109" s="106">
        <f>'Pasture 4'!E102</f>
        <v>269.97000000000003</v>
      </c>
      <c r="S109" s="106"/>
      <c r="T109" s="106">
        <f>'Pasture 5N'!E99</f>
        <v>819.96</v>
      </c>
      <c r="U109" s="106">
        <f>'Pasture 5Mid'!E99</f>
        <v>1396.1</v>
      </c>
      <c r="V109" s="106">
        <f>'Pasture 5S'!E99</f>
        <v>1902.5</v>
      </c>
      <c r="W109" s="106"/>
      <c r="X109" s="106">
        <f>'Pasture 6A'!E102</f>
        <v>1087.27</v>
      </c>
      <c r="Y109" s="106">
        <f>'Pasture 6B'!E102</f>
        <v>679</v>
      </c>
      <c r="Z109" s="106">
        <f>'Pasture 6C'!E102</f>
        <v>172.899</v>
      </c>
      <c r="AA109" s="106">
        <f>'Pasture 6D'!E102</f>
        <v>800.89</v>
      </c>
      <c r="AB109" s="106">
        <f>'Pasture 6E'!E102</f>
        <v>368.59</v>
      </c>
      <c r="AC109" s="106">
        <f>'Pasture 8'!E103</f>
        <v>329.97</v>
      </c>
      <c r="AD109" s="106">
        <f>'Pasture 9'!E109</f>
        <v>361.6</v>
      </c>
      <c r="AE109" s="106">
        <f>'Pasture 10'!E109</f>
        <v>240.42</v>
      </c>
      <c r="AF109" s="106"/>
      <c r="AG109" s="106">
        <f>'Pasture 11A'!E96</f>
        <v>79.180000000000007</v>
      </c>
      <c r="AH109" s="106">
        <f>'Pasture 11B'!E96</f>
        <v>85.66</v>
      </c>
      <c r="AI109" s="106">
        <f>'Pasture 11C'!E96</f>
        <v>86.75</v>
      </c>
      <c r="AJ109" s="106"/>
      <c r="AK109" s="106">
        <f>'Pasture 12A'!E93</f>
        <v>402.85</v>
      </c>
      <c r="AL109" s="106">
        <f>'Pasture 12B'!E93</f>
        <v>666</v>
      </c>
      <c r="AM109" s="106">
        <f>'Pasture 12C'!E93</f>
        <v>763.69</v>
      </c>
      <c r="AN109" s="106">
        <f>'Pasture 12D'!E93</f>
        <v>433.85</v>
      </c>
      <c r="AO109" s="106">
        <f>'Pasture 12E'!E93</f>
        <v>998.77</v>
      </c>
      <c r="AP109" s="106">
        <f>'Pasture 15'!E89</f>
        <v>1707.4</v>
      </c>
      <c r="AQ109" s="106">
        <f>'Pasture 140'!E77</f>
        <v>62.28</v>
      </c>
      <c r="AS109" s="105">
        <v>2015</v>
      </c>
      <c r="AT109" s="111">
        <f t="shared" si="2"/>
        <v>19535.669000000002</v>
      </c>
      <c r="AU109" s="111">
        <v>21472.18</v>
      </c>
      <c r="AV109" s="111">
        <f t="shared" si="4"/>
        <v>90.981302317696674</v>
      </c>
    </row>
    <row r="110" spans="1:48" x14ac:dyDescent="0.3">
      <c r="A110" s="105">
        <v>2016</v>
      </c>
      <c r="B110" s="106">
        <f>'Pasture 1'!E111</f>
        <v>316.62</v>
      </c>
      <c r="C110" s="106"/>
      <c r="D110" s="106">
        <f>'Pasture 2N'!E103</f>
        <v>1856.07</v>
      </c>
      <c r="E110" s="106">
        <f>'Pasture 2SW'!E103</f>
        <v>562.26</v>
      </c>
      <c r="F110" s="106"/>
      <c r="G110" s="106"/>
      <c r="H110" s="106"/>
      <c r="I110" s="106">
        <f>'UA Cell A'!E103</f>
        <v>222.17</v>
      </c>
      <c r="J110" s="106">
        <f>'UA Cell B'!E103</f>
        <v>223.6</v>
      </c>
      <c r="K110" s="106">
        <f>'UA Cell C'!E103</f>
        <v>147.86000000000001</v>
      </c>
      <c r="L110" s="106">
        <f>'UA Cell D'!E103</f>
        <v>268.47000000000003</v>
      </c>
      <c r="M110" s="106">
        <f>'UA Cell E'!E103</f>
        <v>63.13</v>
      </c>
      <c r="N110" s="106">
        <f>'UA Cell F'!E103</f>
        <v>136.11000000000001</v>
      </c>
      <c r="O110" s="106">
        <f>'UA Cell G'!E103</f>
        <v>178.66</v>
      </c>
      <c r="P110" s="106">
        <f>'UA Cell H'!E103</f>
        <v>183.52</v>
      </c>
      <c r="Q110" s="106">
        <f>'Pasture 3'!E97</f>
        <v>1661.6</v>
      </c>
      <c r="R110" s="106">
        <f>'Pasture 4'!E103</f>
        <v>269.97000000000003</v>
      </c>
      <c r="S110" s="106"/>
      <c r="T110" s="106">
        <f>'Pasture 5N'!E100</f>
        <v>819.96</v>
      </c>
      <c r="U110" s="106">
        <f>'Pasture 5Mid'!E100</f>
        <v>1396.1</v>
      </c>
      <c r="V110" s="106">
        <f>'Pasture 5S'!E100</f>
        <v>1902.5</v>
      </c>
      <c r="W110" s="106"/>
      <c r="X110" s="106">
        <f>'Pasture 6A'!E103</f>
        <v>1087.27</v>
      </c>
      <c r="Y110" s="106">
        <f>'Pasture 6B'!E103</f>
        <v>679</v>
      </c>
      <c r="Z110" s="106">
        <f>'Pasture 6C'!E103</f>
        <v>172.899</v>
      </c>
      <c r="AA110" s="106">
        <f>'Pasture 6D'!E103</f>
        <v>800.89</v>
      </c>
      <c r="AB110" s="106">
        <f>'Pasture 6E'!E103</f>
        <v>368.59</v>
      </c>
      <c r="AC110" s="106">
        <f>'Pasture 8'!E104</f>
        <v>329.97</v>
      </c>
      <c r="AD110" s="106">
        <f>'Pasture 9'!E110</f>
        <v>361.6</v>
      </c>
      <c r="AE110" s="106">
        <f>'Pasture 10'!E110</f>
        <v>240.42</v>
      </c>
      <c r="AF110" s="106"/>
      <c r="AG110" s="106">
        <f>'Pasture 11A'!E97</f>
        <v>79.180000000000007</v>
      </c>
      <c r="AH110" s="106">
        <f>'Pasture 11B'!E97</f>
        <v>85.66</v>
      </c>
      <c r="AI110" s="106">
        <f>'Pasture 11C'!E97</f>
        <v>86.75</v>
      </c>
      <c r="AJ110" s="106"/>
      <c r="AK110" s="106">
        <f>'Pasture 12A'!E94</f>
        <v>402.85</v>
      </c>
      <c r="AL110" s="106">
        <f>'Pasture 12B'!E94</f>
        <v>666</v>
      </c>
      <c r="AM110" s="106">
        <f>'Pasture 12C'!E94</f>
        <v>763.69</v>
      </c>
      <c r="AN110" s="106">
        <f>'Pasture 12D'!E94</f>
        <v>433.85</v>
      </c>
      <c r="AO110" s="106">
        <f>'Pasture 12E'!E94</f>
        <v>998.77</v>
      </c>
      <c r="AP110" s="106">
        <f>'Pasture 15'!E90</f>
        <v>1707.4</v>
      </c>
      <c r="AQ110" s="106">
        <f>'Pasture 140'!E78</f>
        <v>62.28</v>
      </c>
      <c r="AS110" s="105">
        <v>2016</v>
      </c>
      <c r="AT110" s="111">
        <f t="shared" si="2"/>
        <v>19535.669000000002</v>
      </c>
      <c r="AU110" s="111">
        <v>21472.18</v>
      </c>
      <c r="AV110" s="111">
        <f t="shared" si="4"/>
        <v>90.981302317696674</v>
      </c>
    </row>
    <row r="111" spans="1:48" x14ac:dyDescent="0.3">
      <c r="A111" s="105">
        <v>2017</v>
      </c>
      <c r="B111" s="106">
        <f>'Pasture 1'!E112</f>
        <v>316.62</v>
      </c>
      <c r="C111" s="106"/>
      <c r="D111" s="106">
        <f>'Pasture 2N'!E104</f>
        <v>1856.07</v>
      </c>
      <c r="E111" s="106">
        <f>'Pasture 2SW'!E104</f>
        <v>562.26</v>
      </c>
      <c r="F111" s="106"/>
      <c r="G111" s="106"/>
      <c r="H111" s="106"/>
      <c r="I111" s="106">
        <f>'UA Cell A'!E104</f>
        <v>222.17</v>
      </c>
      <c r="J111" s="106">
        <f>'UA Cell B'!E104</f>
        <v>223.6</v>
      </c>
      <c r="K111" s="106">
        <f>'UA Cell C'!E104</f>
        <v>147.86000000000001</v>
      </c>
      <c r="L111" s="106">
        <f>'UA Cell D'!E104</f>
        <v>268.47000000000003</v>
      </c>
      <c r="M111" s="106">
        <f>'UA Cell E'!E104</f>
        <v>63.13</v>
      </c>
      <c r="N111" s="106">
        <f>'UA Cell F'!E104</f>
        <v>136.11000000000001</v>
      </c>
      <c r="O111" s="106">
        <f>'UA Cell G'!E104</f>
        <v>178.66</v>
      </c>
      <c r="P111" s="106">
        <f>'UA Cell H'!E104</f>
        <v>183.52</v>
      </c>
      <c r="Q111" s="106">
        <f>'Pasture 3'!E98</f>
        <v>1661.6</v>
      </c>
      <c r="R111" s="106">
        <f>'Pasture 4'!E104</f>
        <v>269.97000000000003</v>
      </c>
      <c r="S111" s="106"/>
      <c r="T111" s="106">
        <f>'Pasture 5N'!E101</f>
        <v>819.96</v>
      </c>
      <c r="U111" s="106">
        <f>'Pasture 5Mid'!E101</f>
        <v>1396.1</v>
      </c>
      <c r="V111" s="106">
        <f>'Pasture 5S'!E101</f>
        <v>1902.5</v>
      </c>
      <c r="W111" s="106"/>
      <c r="X111" s="106">
        <f>'Pasture 6A'!E104</f>
        <v>1087.27</v>
      </c>
      <c r="Y111" s="106">
        <f>'Pasture 6B'!E104</f>
        <v>679</v>
      </c>
      <c r="Z111" s="106">
        <f>'Pasture 6C'!E104</f>
        <v>172.899</v>
      </c>
      <c r="AA111" s="106">
        <f>'Pasture 6D'!E104</f>
        <v>800.89</v>
      </c>
      <c r="AB111" s="106">
        <f>'Pasture 6E'!E104</f>
        <v>368.59</v>
      </c>
      <c r="AC111" s="106">
        <f>'Pasture 8'!E105</f>
        <v>329.97</v>
      </c>
      <c r="AD111" s="106">
        <f>'Pasture 9'!E111</f>
        <v>361.6</v>
      </c>
      <c r="AE111" s="106">
        <f>'Pasture 10'!E111</f>
        <v>240.42</v>
      </c>
      <c r="AF111" s="106"/>
      <c r="AG111" s="106">
        <f>'Pasture 11A'!E98</f>
        <v>79.180000000000007</v>
      </c>
      <c r="AH111" s="106">
        <f>'Pasture 11B'!E98</f>
        <v>85.66</v>
      </c>
      <c r="AI111" s="106">
        <f>'Pasture 11C'!E98</f>
        <v>86.75</v>
      </c>
      <c r="AJ111" s="106"/>
      <c r="AK111" s="106">
        <f>'Pasture 12A'!E95</f>
        <v>402.85</v>
      </c>
      <c r="AL111" s="106">
        <f>'Pasture 12B'!E95</f>
        <v>666</v>
      </c>
      <c r="AM111" s="106">
        <f>'Pasture 12C'!E95</f>
        <v>763.69</v>
      </c>
      <c r="AN111" s="106">
        <f>'Pasture 12D'!E95</f>
        <v>433.85</v>
      </c>
      <c r="AO111" s="106">
        <f>'Pasture 12E'!E95</f>
        <v>998.77</v>
      </c>
      <c r="AP111" s="106">
        <f>'Pasture 15'!E91</f>
        <v>1707.4</v>
      </c>
      <c r="AQ111" s="106">
        <f>'Pasture 140'!E79</f>
        <v>62.28</v>
      </c>
      <c r="AS111" s="105">
        <v>2017</v>
      </c>
      <c r="AT111" s="111">
        <f t="shared" si="2"/>
        <v>19535.669000000002</v>
      </c>
      <c r="AU111" s="111">
        <v>21472.18</v>
      </c>
      <c r="AV111" s="111">
        <f t="shared" si="4"/>
        <v>90.981302317696674</v>
      </c>
    </row>
    <row r="112" spans="1:48" x14ac:dyDescent="0.3">
      <c r="A112" s="105">
        <v>2018</v>
      </c>
      <c r="B112" s="106">
        <f>'Pasture 1'!E113</f>
        <v>316.62</v>
      </c>
      <c r="C112" s="106"/>
      <c r="D112" s="106">
        <f>'Pasture 2N'!E105</f>
        <v>1856.07</v>
      </c>
      <c r="E112" s="106">
        <f>'Pasture 2SW'!E105</f>
        <v>562.26</v>
      </c>
      <c r="F112" s="106"/>
      <c r="G112" s="106"/>
      <c r="H112" s="106"/>
      <c r="I112" s="106">
        <f>'UA Cell A'!E105</f>
        <v>222.17</v>
      </c>
      <c r="J112" s="106">
        <f>'UA Cell B'!E105</f>
        <v>223.6</v>
      </c>
      <c r="K112" s="106">
        <f>'UA Cell C'!E105</f>
        <v>147.86000000000001</v>
      </c>
      <c r="L112" s="106">
        <f>'UA Cell D'!E105</f>
        <v>268.47000000000003</v>
      </c>
      <c r="M112" s="106">
        <f>'UA Cell E'!E105</f>
        <v>63.13</v>
      </c>
      <c r="N112" s="106">
        <f>'UA Cell F'!E105</f>
        <v>136.11000000000001</v>
      </c>
      <c r="O112" s="106">
        <f>'UA Cell G'!E105</f>
        <v>178.66</v>
      </c>
      <c r="P112" s="106">
        <f>'UA Cell H'!E105</f>
        <v>183.52</v>
      </c>
      <c r="Q112" s="106">
        <f>'Pasture 3'!E99</f>
        <v>1661.6</v>
      </c>
      <c r="R112" s="106">
        <f>'Pasture 4'!E105</f>
        <v>269.97000000000003</v>
      </c>
      <c r="S112" s="106"/>
      <c r="T112" s="106">
        <f>'Pasture 5N'!E102</f>
        <v>819.96</v>
      </c>
      <c r="U112" s="106">
        <f>'Pasture 5Mid'!E102</f>
        <v>1396.1</v>
      </c>
      <c r="V112" s="106">
        <f>'Pasture 5S'!E102</f>
        <v>1902.5</v>
      </c>
      <c r="W112" s="106"/>
      <c r="X112" s="106">
        <f>'Pasture 6A'!E105</f>
        <v>1087.27</v>
      </c>
      <c r="Y112" s="106">
        <f>'Pasture 6B'!E105</f>
        <v>679</v>
      </c>
      <c r="Z112" s="106">
        <f>'Pasture 6C'!E105</f>
        <v>172.899</v>
      </c>
      <c r="AA112" s="106">
        <f>'Pasture 6D'!E105</f>
        <v>800.89</v>
      </c>
      <c r="AB112" s="106">
        <f>'Pasture 6E'!E105</f>
        <v>368.59</v>
      </c>
      <c r="AC112" s="106">
        <f>'Pasture 8'!E106</f>
        <v>329.97</v>
      </c>
      <c r="AD112" s="106">
        <f>'Pasture 9'!E112</f>
        <v>361.6</v>
      </c>
      <c r="AE112" s="106">
        <f>'Pasture 10'!E112</f>
        <v>240.42</v>
      </c>
      <c r="AF112" s="106"/>
      <c r="AG112" s="106">
        <f>'Pasture 11A'!E99</f>
        <v>79.180000000000007</v>
      </c>
      <c r="AH112" s="106">
        <f>'Pasture 11B'!E99</f>
        <v>85.66</v>
      </c>
      <c r="AI112" s="106">
        <f>'Pasture 11C'!E99</f>
        <v>86.75</v>
      </c>
      <c r="AJ112" s="106"/>
      <c r="AK112" s="106">
        <f>'Pasture 12A'!E96</f>
        <v>402.85</v>
      </c>
      <c r="AL112" s="106">
        <f>'Pasture 12B'!E96</f>
        <v>666</v>
      </c>
      <c r="AM112" s="106">
        <f>'Pasture 12C'!E96</f>
        <v>763.69</v>
      </c>
      <c r="AN112" s="106">
        <f>'Pasture 12D'!E96</f>
        <v>433.85</v>
      </c>
      <c r="AO112" s="106">
        <f>'Pasture 12E'!E96</f>
        <v>998.77</v>
      </c>
      <c r="AP112" s="106">
        <f>'Pasture 15'!E92</f>
        <v>1707.4</v>
      </c>
      <c r="AQ112" s="106">
        <f>'Pasture 140'!E80</f>
        <v>62.28</v>
      </c>
      <c r="AS112" s="105">
        <v>2018</v>
      </c>
      <c r="AT112" s="111">
        <f t="shared" si="2"/>
        <v>19535.669000000002</v>
      </c>
      <c r="AU112" s="111">
        <v>21472.18</v>
      </c>
      <c r="AV112" s="111">
        <f t="shared" si="4"/>
        <v>90.981302317696674</v>
      </c>
    </row>
    <row r="113" spans="1:48" x14ac:dyDescent="0.3">
      <c r="A113" s="105">
        <v>2019</v>
      </c>
      <c r="B113" s="106">
        <f>'Pasture 1'!E114</f>
        <v>316.62</v>
      </c>
      <c r="C113" s="106"/>
      <c r="D113" s="106">
        <f>'Pasture 2N'!E106</f>
        <v>1856.07</v>
      </c>
      <c r="E113" s="106">
        <f>'Pasture 2SW'!E106</f>
        <v>562.26</v>
      </c>
      <c r="F113" s="106"/>
      <c r="G113" s="106"/>
      <c r="H113" s="106"/>
      <c r="I113" s="106">
        <f>'UA Cell A'!E106</f>
        <v>222.17</v>
      </c>
      <c r="J113" s="106">
        <f>'UA Cell B'!E106</f>
        <v>223.6</v>
      </c>
      <c r="K113" s="106">
        <f>'UA Cell C'!E106</f>
        <v>147.86000000000001</v>
      </c>
      <c r="L113" s="106">
        <f>'UA Cell D'!E106</f>
        <v>268.47000000000003</v>
      </c>
      <c r="M113" s="106">
        <f>'UA Cell E'!E106</f>
        <v>63.13</v>
      </c>
      <c r="N113" s="106">
        <f>'UA Cell F'!E106</f>
        <v>136.11000000000001</v>
      </c>
      <c r="O113" s="106">
        <f>'UA Cell G'!E106</f>
        <v>178.66</v>
      </c>
      <c r="P113" s="106">
        <f>'UA Cell H'!E106</f>
        <v>183.52</v>
      </c>
      <c r="Q113" s="106">
        <f>'Pasture 3'!E100</f>
        <v>1661.6</v>
      </c>
      <c r="R113" s="106">
        <f>'Pasture 4'!E106</f>
        <v>269.97000000000003</v>
      </c>
      <c r="S113" s="106"/>
      <c r="T113" s="106">
        <f>'Pasture 5N'!E103</f>
        <v>819.96</v>
      </c>
      <c r="U113" s="106">
        <f>'Pasture 5Mid'!E103</f>
        <v>1396.1</v>
      </c>
      <c r="V113" s="106">
        <f>'Pasture 5S'!E103</f>
        <v>1902.5</v>
      </c>
      <c r="W113" s="106"/>
      <c r="X113" s="106">
        <f>'Pasture 6A'!E106</f>
        <v>1087.27</v>
      </c>
      <c r="Y113" s="106">
        <f>'Pasture 6B'!E106</f>
        <v>679</v>
      </c>
      <c r="Z113" s="106">
        <f>'Pasture 6C'!E106</f>
        <v>172.899</v>
      </c>
      <c r="AA113" s="106">
        <f>'Pasture 6D'!E106</f>
        <v>800.89</v>
      </c>
      <c r="AB113" s="106">
        <f>'Pasture 6E'!E106</f>
        <v>368.59</v>
      </c>
      <c r="AC113" s="106">
        <f>'Pasture 8'!E107</f>
        <v>329.97</v>
      </c>
      <c r="AD113" s="106">
        <f>'Pasture 9'!E113</f>
        <v>361.6</v>
      </c>
      <c r="AE113" s="106">
        <f>'Pasture 10'!E113</f>
        <v>240.42</v>
      </c>
      <c r="AF113" s="106"/>
      <c r="AG113" s="106">
        <f>'Pasture 11A'!E100</f>
        <v>79.180000000000007</v>
      </c>
      <c r="AH113" s="106">
        <f>'Pasture 11B'!E100</f>
        <v>85.66</v>
      </c>
      <c r="AI113" s="106">
        <f>'Pasture 11C'!E100</f>
        <v>86.75</v>
      </c>
      <c r="AJ113" s="106"/>
      <c r="AK113" s="106">
        <f>'Pasture 12A'!E97</f>
        <v>402.85</v>
      </c>
      <c r="AL113" s="106">
        <f>'Pasture 12B'!E97</f>
        <v>666</v>
      </c>
      <c r="AM113" s="106">
        <f>'Pasture 12C'!E97</f>
        <v>763.69</v>
      </c>
      <c r="AN113" s="106">
        <f>'Pasture 12D'!E97</f>
        <v>433.85</v>
      </c>
      <c r="AO113" s="106">
        <f>'Pasture 12E'!E97</f>
        <v>998.77</v>
      </c>
      <c r="AP113" s="106">
        <f>'Pasture 15'!E93</f>
        <v>1707.4</v>
      </c>
      <c r="AQ113" s="106">
        <f>'Pasture 140'!E81</f>
        <v>62.28</v>
      </c>
      <c r="AS113" s="105">
        <v>2019</v>
      </c>
      <c r="AT113" s="111">
        <f t="shared" si="2"/>
        <v>19535.669000000002</v>
      </c>
      <c r="AU113" s="111">
        <v>21472.18</v>
      </c>
      <c r="AV113" s="111">
        <f t="shared" si="4"/>
        <v>90.981302317696674</v>
      </c>
    </row>
    <row r="114" spans="1:48" x14ac:dyDescent="0.3">
      <c r="A114" s="105">
        <v>2020</v>
      </c>
      <c r="B114" s="106">
        <f>'Pasture 1'!E115</f>
        <v>316.62</v>
      </c>
      <c r="C114" s="106"/>
      <c r="D114" s="106">
        <f>'Pasture 2N'!E107</f>
        <v>1856.07</v>
      </c>
      <c r="E114" s="106">
        <f>'Pasture 2SW'!E107</f>
        <v>562.26</v>
      </c>
      <c r="F114" s="106"/>
      <c r="G114" s="106"/>
      <c r="H114" s="106"/>
      <c r="I114" s="106">
        <f>'UA Cell A'!E107</f>
        <v>222.17</v>
      </c>
      <c r="J114" s="106">
        <f>'UA Cell B'!E107</f>
        <v>223.6</v>
      </c>
      <c r="K114" s="106">
        <f>'UA Cell C'!E107</f>
        <v>147.86000000000001</v>
      </c>
      <c r="L114" s="106">
        <f>'UA Cell D'!E107</f>
        <v>268.47000000000003</v>
      </c>
      <c r="M114" s="106">
        <f>'UA Cell E'!E107</f>
        <v>63.13</v>
      </c>
      <c r="N114" s="106">
        <f>'UA Cell F'!E107</f>
        <v>136.11000000000001</v>
      </c>
      <c r="O114" s="106">
        <f>'UA Cell G'!E107</f>
        <v>178.66</v>
      </c>
      <c r="P114" s="106">
        <f>'UA Cell H'!E107</f>
        <v>183.52</v>
      </c>
      <c r="Q114" s="106">
        <f>'Pasture 3'!E101</f>
        <v>1661.6</v>
      </c>
      <c r="R114" s="106">
        <f>'Pasture 4'!E107</f>
        <v>269.97000000000003</v>
      </c>
      <c r="S114" s="106"/>
      <c r="T114" s="106">
        <f>'Pasture 5N'!E104</f>
        <v>819.96</v>
      </c>
      <c r="U114" s="106">
        <f>'Pasture 5Mid'!E104</f>
        <v>1396.1</v>
      </c>
      <c r="V114" s="106">
        <f>'Pasture 5S'!E104</f>
        <v>1902.5</v>
      </c>
      <c r="W114" s="106"/>
      <c r="X114" s="106">
        <f>'Pasture 6A'!E107</f>
        <v>1087.27</v>
      </c>
      <c r="Y114" s="106">
        <f>'Pasture 6B'!E107</f>
        <v>679</v>
      </c>
      <c r="Z114" s="106">
        <f>'Pasture 6C'!E107</f>
        <v>172.899</v>
      </c>
      <c r="AA114" s="106">
        <f>'Pasture 6D'!E107</f>
        <v>800.89</v>
      </c>
      <c r="AB114" s="106">
        <f>'Pasture 6E'!E107</f>
        <v>368.59</v>
      </c>
      <c r="AC114" s="106">
        <f>'Pasture 8'!E108</f>
        <v>329.97</v>
      </c>
      <c r="AD114" s="106">
        <f>'Pasture 9'!E114</f>
        <v>361.6</v>
      </c>
      <c r="AE114" s="106">
        <f>'Pasture 10'!E114</f>
        <v>240.42</v>
      </c>
      <c r="AF114" s="106"/>
      <c r="AG114" s="106">
        <f>'Pasture 11A'!E101</f>
        <v>79.180000000000007</v>
      </c>
      <c r="AH114" s="106">
        <f>'Pasture 11B'!E101</f>
        <v>85.66</v>
      </c>
      <c r="AI114" s="106">
        <f>'Pasture 11C'!E101</f>
        <v>86.75</v>
      </c>
      <c r="AJ114" s="106"/>
      <c r="AK114" s="106">
        <f>'Pasture 12A'!E98</f>
        <v>402.85</v>
      </c>
      <c r="AL114" s="106">
        <f>'Pasture 12B'!E98</f>
        <v>666</v>
      </c>
      <c r="AM114" s="106">
        <f>'Pasture 12C'!E98</f>
        <v>763.69</v>
      </c>
      <c r="AN114" s="106">
        <f>'Pasture 12D'!E98</f>
        <v>433.85</v>
      </c>
      <c r="AO114" s="106">
        <f>'Pasture 12E'!E98</f>
        <v>998.77</v>
      </c>
      <c r="AP114" s="106">
        <f>'Pasture 15'!E94</f>
        <v>1707.4</v>
      </c>
      <c r="AQ114" s="106">
        <f>'Pasture 140'!E82</f>
        <v>62.28</v>
      </c>
      <c r="AS114" s="105">
        <v>2020</v>
      </c>
      <c r="AT114" s="111">
        <f t="shared" si="2"/>
        <v>19535.669000000002</v>
      </c>
      <c r="AU114" s="111">
        <v>21472.18</v>
      </c>
      <c r="AV114" s="111">
        <f t="shared" si="4"/>
        <v>90.981302317696674</v>
      </c>
    </row>
    <row r="115" spans="1:48" x14ac:dyDescent="0.3">
      <c r="A115" s="116">
        <v>2021</v>
      </c>
      <c r="B115" s="117">
        <f>'Pasture 1'!E116</f>
        <v>316.62</v>
      </c>
      <c r="C115" s="117"/>
      <c r="D115" s="117">
        <f>'Pasture 2N'!E108</f>
        <v>1856.07</v>
      </c>
      <c r="E115" s="117">
        <f>'Pasture 2SW'!E108</f>
        <v>562.26</v>
      </c>
      <c r="F115" s="117"/>
      <c r="G115" s="117"/>
      <c r="H115" s="117"/>
      <c r="I115" s="117">
        <f>'UA Cell A'!E108</f>
        <v>222.17</v>
      </c>
      <c r="J115" s="117">
        <f>'UA Cell B'!E108</f>
        <v>223.6</v>
      </c>
      <c r="K115" s="117">
        <f>'UA Cell C'!E108</f>
        <v>147.86000000000001</v>
      </c>
      <c r="L115" s="117">
        <f>'UA Cell D'!E108</f>
        <v>268.47000000000003</v>
      </c>
      <c r="M115" s="117">
        <f>'UA Cell E'!E108</f>
        <v>63.13</v>
      </c>
      <c r="N115" s="117">
        <f>'UA Cell F'!E108</f>
        <v>136.11000000000001</v>
      </c>
      <c r="O115" s="117">
        <f>'UA Cell G'!E108</f>
        <v>178.66</v>
      </c>
      <c r="P115" s="117">
        <f>'UA Cell H'!E108</f>
        <v>183.52</v>
      </c>
      <c r="Q115" s="117">
        <f>'Pasture 3'!E102</f>
        <v>1661.6</v>
      </c>
      <c r="R115" s="117">
        <f>'Pasture 4'!E108</f>
        <v>269.97000000000003</v>
      </c>
      <c r="S115" s="117"/>
      <c r="T115" s="117">
        <f>'Pasture 5N'!E105</f>
        <v>819.96</v>
      </c>
      <c r="U115" s="117">
        <f>'Pasture 5Mid'!E105</f>
        <v>1396.1</v>
      </c>
      <c r="V115" s="117">
        <f>'Pasture 5S'!E105</f>
        <v>1902.5</v>
      </c>
      <c r="W115" s="117"/>
      <c r="X115" s="117">
        <f>'Pasture 6A'!E108</f>
        <v>1087.27</v>
      </c>
      <c r="Y115" s="106">
        <f>'Pasture 6B'!E108</f>
        <v>679</v>
      </c>
      <c r="Z115" s="106">
        <f>'Pasture 6C'!E108</f>
        <v>172.899</v>
      </c>
      <c r="AA115" s="106">
        <f>'Pasture 6D'!E108</f>
        <v>800.89</v>
      </c>
      <c r="AB115" s="117">
        <f>'Pasture 6E'!E108</f>
        <v>368.59</v>
      </c>
      <c r="AC115" s="117">
        <f>'Pasture 8'!E109</f>
        <v>329.97</v>
      </c>
      <c r="AD115" s="117">
        <f>'Pasture 9'!E115</f>
        <v>361.6</v>
      </c>
      <c r="AE115" s="117">
        <f>'Pasture 10'!E115</f>
        <v>240.42</v>
      </c>
      <c r="AF115" s="117"/>
      <c r="AG115" s="117">
        <f>'Pasture 11A'!E102</f>
        <v>79.180000000000007</v>
      </c>
      <c r="AH115" s="117">
        <f>'Pasture 11B'!E102</f>
        <v>85.66</v>
      </c>
      <c r="AI115" s="117">
        <f>'Pasture 11C'!E102</f>
        <v>86.75</v>
      </c>
      <c r="AJ115" s="117"/>
      <c r="AK115" s="117">
        <f>'Pasture 12A'!E99</f>
        <v>402.85</v>
      </c>
      <c r="AL115" s="117">
        <f>'Pasture 12B'!E99</f>
        <v>666</v>
      </c>
      <c r="AM115" s="117">
        <f>'Pasture 12C'!E99</f>
        <v>763.69</v>
      </c>
      <c r="AN115" s="117">
        <f>'Pasture 12D'!E99</f>
        <v>433.85</v>
      </c>
      <c r="AO115" s="117">
        <f>'Pasture 12E'!E99</f>
        <v>998.77</v>
      </c>
      <c r="AP115" s="117">
        <f>'Pasture 15'!E95</f>
        <v>1707.4</v>
      </c>
      <c r="AQ115" s="117">
        <f>'Pasture 140'!E83</f>
        <v>62.28</v>
      </c>
      <c r="AS115" s="116">
        <v>2021</v>
      </c>
      <c r="AT115" s="118">
        <f>SUM(B115:AQ115)</f>
        <v>19535.669000000002</v>
      </c>
      <c r="AU115" s="111">
        <v>21472.18</v>
      </c>
      <c r="AV115" s="118">
        <f>(AT115/AU115)*100</f>
        <v>90.981302317696674</v>
      </c>
    </row>
    <row r="116" spans="1:48" x14ac:dyDescent="0.3">
      <c r="A116" s="105">
        <v>2022</v>
      </c>
      <c r="B116" s="106">
        <f>'Pasture 1'!E117</f>
        <v>316.62</v>
      </c>
      <c r="C116" s="107"/>
      <c r="D116" s="106">
        <f>'Pasture 2N'!E109</f>
        <v>1856.07</v>
      </c>
      <c r="E116" s="106">
        <f>'Pasture 2SW'!E109</f>
        <v>562.26</v>
      </c>
      <c r="F116" s="107"/>
      <c r="G116" s="107"/>
      <c r="H116" s="107"/>
      <c r="I116" s="106">
        <f>'UA Cell A'!E109</f>
        <v>222.17</v>
      </c>
      <c r="J116" s="106">
        <f>'UA Cell B'!E109</f>
        <v>223.6</v>
      </c>
      <c r="K116" s="106">
        <f>'UA Cell C'!E109</f>
        <v>147.86000000000001</v>
      </c>
      <c r="L116" s="106">
        <f>'UA Cell D'!E109</f>
        <v>268.47000000000003</v>
      </c>
      <c r="M116" s="106">
        <f>'UA Cell E'!E109</f>
        <v>63.13</v>
      </c>
      <c r="N116" s="106">
        <f>'UA Cell F'!E109</f>
        <v>136.11000000000001</v>
      </c>
      <c r="O116" s="106">
        <f>'UA Cell G'!E109</f>
        <v>178.66</v>
      </c>
      <c r="P116" s="106">
        <f>'UA Cell H'!E109</f>
        <v>183.52</v>
      </c>
      <c r="Q116" s="106">
        <f>'Pasture 3'!E103</f>
        <v>1661.6</v>
      </c>
      <c r="R116" s="106">
        <f>'Pasture 4'!E109</f>
        <v>269.97000000000003</v>
      </c>
      <c r="S116" s="107"/>
      <c r="T116" s="106">
        <f>'Pasture 5N'!E106</f>
        <v>819.96</v>
      </c>
      <c r="U116" s="106">
        <f>'Pasture 5Mid'!E106</f>
        <v>1396.1</v>
      </c>
      <c r="V116" s="106">
        <f>'Pasture 5S'!E106</f>
        <v>1902.5</v>
      </c>
      <c r="W116" s="107"/>
      <c r="X116" s="106">
        <f>'Pasture 6A'!E109</f>
        <v>1087.27</v>
      </c>
      <c r="Y116" s="106">
        <f>'Pasture 6B'!E109</f>
        <v>679</v>
      </c>
      <c r="Z116" s="106">
        <f>'Pasture 6C'!E109</f>
        <v>172.899</v>
      </c>
      <c r="AA116" s="106">
        <f>'Pasture 6D'!E109</f>
        <v>800.89</v>
      </c>
      <c r="AB116" s="106">
        <f>'Pasture 6E'!E109</f>
        <v>368.59</v>
      </c>
      <c r="AC116" s="106">
        <f>'Pasture 8'!E110</f>
        <v>329.97</v>
      </c>
      <c r="AD116" s="106">
        <f>'Pasture 9'!E116</f>
        <v>361.6</v>
      </c>
      <c r="AE116" s="106">
        <f>'Pasture 10'!E116</f>
        <v>240.42</v>
      </c>
      <c r="AF116" s="107"/>
      <c r="AG116" s="106">
        <f>'Pasture 11A'!E103</f>
        <v>79.180000000000007</v>
      </c>
      <c r="AH116" s="106">
        <f>'Pasture 11B'!E103</f>
        <v>85.66</v>
      </c>
      <c r="AI116" s="106">
        <f>'Pasture 11C'!E103</f>
        <v>86.75</v>
      </c>
      <c r="AJ116" s="107"/>
      <c r="AK116" s="106">
        <f>'Pasture 12A'!E100</f>
        <v>402.85</v>
      </c>
      <c r="AL116" s="106">
        <f>'Pasture 12B'!E100</f>
        <v>666</v>
      </c>
      <c r="AM116" s="106">
        <f>'Pasture 12C'!E100</f>
        <v>763.69</v>
      </c>
      <c r="AN116" s="106">
        <f>'Pasture 12D'!E100</f>
        <v>433.85</v>
      </c>
      <c r="AO116" s="106">
        <f>'Pasture 12E'!E100</f>
        <v>998.77</v>
      </c>
      <c r="AP116" s="119">
        <f>'Pasture 15'!E96</f>
        <v>1707.4</v>
      </c>
      <c r="AQ116" s="106">
        <f>'Pasture 140'!E84</f>
        <v>62.28</v>
      </c>
      <c r="AS116" s="105">
        <v>2022</v>
      </c>
      <c r="AT116" s="111">
        <f>SUM(B116:AQ116)</f>
        <v>19535.669000000002</v>
      </c>
      <c r="AU116" s="111">
        <v>21472.18</v>
      </c>
      <c r="AV116" s="111">
        <f>(AT116/AU116)*100</f>
        <v>90.981302317696674</v>
      </c>
    </row>
    <row r="117" spans="1:48" x14ac:dyDescent="0.3">
      <c r="A117" s="105">
        <v>2023</v>
      </c>
      <c r="B117" s="106">
        <f>'Pasture 1'!E118</f>
        <v>316.62</v>
      </c>
      <c r="C117" s="107"/>
      <c r="D117" s="106">
        <f>'Pasture 2N'!E110</f>
        <v>1856.07</v>
      </c>
      <c r="E117" s="106">
        <f>'Pasture 2SW'!E110</f>
        <v>562.26</v>
      </c>
      <c r="F117" s="107"/>
      <c r="G117" s="107"/>
      <c r="H117" s="107"/>
      <c r="I117" s="106">
        <f>'UA Cell A'!E110</f>
        <v>222.17</v>
      </c>
      <c r="J117" s="106">
        <f>'UA Cell B'!E110</f>
        <v>223.6</v>
      </c>
      <c r="K117" s="106">
        <f>'UA Cell C'!E110</f>
        <v>147.86000000000001</v>
      </c>
      <c r="L117" s="106">
        <f>'UA Cell D'!E110</f>
        <v>268.47000000000003</v>
      </c>
      <c r="M117" s="106">
        <f>'UA Cell E'!E110</f>
        <v>63.13</v>
      </c>
      <c r="N117" s="106">
        <f>'UA Cell F'!E110</f>
        <v>136.11000000000001</v>
      </c>
      <c r="O117" s="106">
        <f>'UA Cell G'!E110</f>
        <v>178.66</v>
      </c>
      <c r="P117" s="106">
        <f>'UA Cell H'!E110</f>
        <v>183.52</v>
      </c>
      <c r="Q117" s="106">
        <f>'Pasture 3'!E104</f>
        <v>1661.6</v>
      </c>
      <c r="R117" s="106">
        <f>'Pasture 4'!E110</f>
        <v>269.97000000000003</v>
      </c>
      <c r="S117" s="107"/>
      <c r="T117" s="106">
        <f>'Pasture 5N'!E107</f>
        <v>819.96</v>
      </c>
      <c r="U117" s="106">
        <f>'Pasture 5Mid'!E107</f>
        <v>1396.1</v>
      </c>
      <c r="V117" s="106">
        <f>'Pasture 5S'!E107</f>
        <v>1902.5</v>
      </c>
      <c r="W117" s="107"/>
      <c r="X117" s="106">
        <f>'Pasture 6A'!E110</f>
        <v>1087.27</v>
      </c>
      <c r="Y117" s="106">
        <f>'Pasture 6B'!E110</f>
        <v>679</v>
      </c>
      <c r="Z117" s="106">
        <f>'Pasture 6C'!E110</f>
        <v>172.899</v>
      </c>
      <c r="AA117" s="106">
        <f>'Pasture 6D'!E110</f>
        <v>800.89</v>
      </c>
      <c r="AB117" s="106">
        <f>'Pasture 6E'!E110</f>
        <v>368.59</v>
      </c>
      <c r="AC117" s="106">
        <f>'Pasture 8'!E111</f>
        <v>329.97</v>
      </c>
      <c r="AD117" s="106">
        <f>'Pasture 9'!E117</f>
        <v>361.6</v>
      </c>
      <c r="AE117" s="106">
        <f>'Pasture 10'!E117</f>
        <v>240.42</v>
      </c>
      <c r="AF117" s="107"/>
      <c r="AG117" s="106">
        <f>'Pasture 11A'!E104</f>
        <v>79.180000000000007</v>
      </c>
      <c r="AH117" s="106">
        <f>'Pasture 11B'!E104</f>
        <v>85.66</v>
      </c>
      <c r="AI117" s="106">
        <f>'Pasture 11C'!E104</f>
        <v>86.75</v>
      </c>
      <c r="AJ117" s="107"/>
      <c r="AK117" s="106">
        <f>'Pasture 12A'!E101</f>
        <v>402.85</v>
      </c>
      <c r="AL117" s="106">
        <f>'Pasture 12B'!E101</f>
        <v>666</v>
      </c>
      <c r="AM117" s="106">
        <f>'Pasture 12C'!E101</f>
        <v>763.69</v>
      </c>
      <c r="AN117" s="106">
        <f>'Pasture 12D'!E101</f>
        <v>433.85</v>
      </c>
      <c r="AO117" s="106">
        <f>'Pasture 12E'!E101</f>
        <v>998.77</v>
      </c>
      <c r="AP117" s="119">
        <f>'Pasture 15'!E97</f>
        <v>1707.4</v>
      </c>
      <c r="AQ117" s="106">
        <f>'Pasture 140'!E85</f>
        <v>62.28</v>
      </c>
      <c r="AS117" s="105">
        <v>2023</v>
      </c>
      <c r="AT117" s="111">
        <f>SUM(B117:AQ117)</f>
        <v>19535.669000000002</v>
      </c>
      <c r="AU117" s="111">
        <v>21472.18</v>
      </c>
      <c r="AV117" s="111">
        <f>(AT117/AU117)*100</f>
        <v>90.981302317696674</v>
      </c>
    </row>
    <row r="118" spans="1:48" x14ac:dyDescent="0.3">
      <c r="A118" s="105">
        <v>2024</v>
      </c>
      <c r="B118" s="106">
        <f>'Pasture 1'!E119</f>
        <v>316.62</v>
      </c>
      <c r="C118" s="107"/>
      <c r="D118" s="106">
        <f>'Pasture 2N'!E111</f>
        <v>1856.07</v>
      </c>
      <c r="E118" s="106">
        <f>'Pasture 2SW'!E111</f>
        <v>562.26</v>
      </c>
      <c r="F118" s="107"/>
      <c r="G118" s="107"/>
      <c r="H118" s="107"/>
      <c r="I118" s="106">
        <f>'UA Cell A'!E111</f>
        <v>222.17</v>
      </c>
      <c r="J118" s="106">
        <f>'UA Cell B'!E111</f>
        <v>223.6</v>
      </c>
      <c r="K118" s="106">
        <f>'UA Cell C'!E111</f>
        <v>147.86000000000001</v>
      </c>
      <c r="L118" s="106">
        <f>'UA Cell D'!E111</f>
        <v>268.47000000000003</v>
      </c>
      <c r="M118" s="106">
        <f>'UA Cell E'!E111</f>
        <v>63.13</v>
      </c>
      <c r="N118" s="106">
        <f>'UA Cell F'!E111</f>
        <v>136.11000000000001</v>
      </c>
      <c r="O118" s="106">
        <f>'UA Cell G'!E111</f>
        <v>178.66</v>
      </c>
      <c r="P118" s="106">
        <f>'UA Cell H'!E111</f>
        <v>183.52</v>
      </c>
      <c r="Q118" s="106">
        <f>'Pasture 3'!E105</f>
        <v>1661.6</v>
      </c>
      <c r="R118" s="106">
        <f>'Pasture 4'!E111</f>
        <v>269.97000000000003</v>
      </c>
      <c r="S118" s="107"/>
      <c r="T118" s="106">
        <f>'Pasture 5N'!E108</f>
        <v>819.96</v>
      </c>
      <c r="U118" s="106">
        <f>'Pasture 5Mid'!E108</f>
        <v>1396.1</v>
      </c>
      <c r="V118" s="106">
        <f>'Pasture 5S'!E108</f>
        <v>1902.5</v>
      </c>
      <c r="W118" s="107"/>
      <c r="X118" s="106">
        <f>'Pasture 6A'!E111</f>
        <v>1087.27</v>
      </c>
      <c r="Y118" s="106">
        <f>'Pasture 6B'!E111</f>
        <v>679</v>
      </c>
      <c r="Z118" s="106">
        <f>'Pasture 6C'!E111</f>
        <v>172.899</v>
      </c>
      <c r="AA118" s="106">
        <f>'Pasture 6D'!E111</f>
        <v>800.89</v>
      </c>
      <c r="AB118" s="106">
        <f>'Pasture 6E'!E111</f>
        <v>368.59</v>
      </c>
      <c r="AC118" s="106">
        <f>'Pasture 8'!E112</f>
        <v>329.97</v>
      </c>
      <c r="AD118" s="106">
        <f>'Pasture 9'!E118</f>
        <v>361.6</v>
      </c>
      <c r="AE118" s="106">
        <f>'Pasture 10'!E118</f>
        <v>240.42</v>
      </c>
      <c r="AF118" s="107"/>
      <c r="AG118" s="106">
        <f>'Pasture 11A'!E105</f>
        <v>79.180000000000007</v>
      </c>
      <c r="AH118" s="106">
        <f>'Pasture 11B'!E105</f>
        <v>85.66</v>
      </c>
      <c r="AI118" s="106">
        <f>'Pasture 11C'!E105</f>
        <v>86.75</v>
      </c>
      <c r="AJ118" s="107"/>
      <c r="AK118" s="106">
        <f>'Pasture 12A'!E102</f>
        <v>402.85</v>
      </c>
      <c r="AL118" s="106">
        <f>'Pasture 12B'!E102</f>
        <v>666</v>
      </c>
      <c r="AM118" s="106">
        <f>'Pasture 12C'!E102</f>
        <v>763.69</v>
      </c>
      <c r="AN118" s="106">
        <f>'Pasture 12D'!E102</f>
        <v>433.85</v>
      </c>
      <c r="AO118" s="106">
        <f>'Pasture 12E'!E102</f>
        <v>998.77</v>
      </c>
      <c r="AP118" s="119">
        <f>'Pasture 15'!E98</f>
        <v>1707.4</v>
      </c>
      <c r="AQ118" s="106">
        <f>'Pasture 140'!E86</f>
        <v>62.28</v>
      </c>
      <c r="AS118" s="105">
        <v>2024</v>
      </c>
      <c r="AT118" s="111">
        <f>SUM(B118:AQ118)</f>
        <v>19535.669000000002</v>
      </c>
      <c r="AU118" s="111">
        <v>21472.18</v>
      </c>
      <c r="AV118" s="111">
        <f>(AT118/AU118)*100</f>
        <v>90.981302317696674</v>
      </c>
    </row>
    <row r="119" spans="1:48" x14ac:dyDescent="0.3">
      <c r="A119" s="105">
        <v>2025</v>
      </c>
      <c r="B119" s="106">
        <f>'Pasture 1'!E120</f>
        <v>316.62</v>
      </c>
      <c r="C119" s="107"/>
      <c r="D119" s="106">
        <f>'Pasture 2N'!E112</f>
        <v>1856.07</v>
      </c>
      <c r="E119" s="106">
        <f>'Pasture 2SW'!E112</f>
        <v>562.26</v>
      </c>
      <c r="F119" s="107"/>
      <c r="G119" s="107"/>
      <c r="H119" s="107"/>
      <c r="I119" s="106">
        <f>'UA Cell A'!E112</f>
        <v>222.17</v>
      </c>
      <c r="J119" s="106">
        <f>'UA Cell B'!E112</f>
        <v>223.6</v>
      </c>
      <c r="K119" s="106">
        <f>'UA Cell C'!E112</f>
        <v>147.86000000000001</v>
      </c>
      <c r="L119" s="106">
        <f>'UA Cell D'!E112</f>
        <v>268.47000000000003</v>
      </c>
      <c r="M119" s="106">
        <f>'UA Cell E'!E112</f>
        <v>63.13</v>
      </c>
      <c r="N119" s="106">
        <f>'UA Cell F'!E112</f>
        <v>136.11000000000001</v>
      </c>
      <c r="O119" s="106">
        <f>'UA Cell G'!E112</f>
        <v>178.66</v>
      </c>
      <c r="P119" s="106">
        <f>'UA Cell H'!E112</f>
        <v>183.52</v>
      </c>
      <c r="Q119" s="106">
        <f>'Pasture 3'!E106</f>
        <v>1661.6</v>
      </c>
      <c r="R119" s="106">
        <f>'Pasture 4'!E112</f>
        <v>269.97000000000003</v>
      </c>
      <c r="S119" s="107"/>
      <c r="T119" s="106">
        <f>'Pasture 5N'!E109</f>
        <v>819.96</v>
      </c>
      <c r="U119" s="106">
        <f>'Pasture 5Mid'!E109</f>
        <v>1396.1</v>
      </c>
      <c r="V119" s="106">
        <f>'Pasture 5S'!E109</f>
        <v>1902.5</v>
      </c>
      <c r="W119" s="107"/>
      <c r="X119" s="106">
        <f>'Pasture 6A'!E112</f>
        <v>1087.27</v>
      </c>
      <c r="Y119" s="106">
        <f>'Pasture 6B'!E112</f>
        <v>679</v>
      </c>
      <c r="Z119" s="106">
        <f>'Pasture 6C'!E112</f>
        <v>172.899</v>
      </c>
      <c r="AA119" s="106">
        <f>'Pasture 6D'!E112</f>
        <v>800.89</v>
      </c>
      <c r="AB119" s="106">
        <f>'Pasture 6E'!E112</f>
        <v>368.59</v>
      </c>
      <c r="AC119" s="106">
        <f>'Pasture 8'!E113</f>
        <v>329.97</v>
      </c>
      <c r="AD119" s="106">
        <f>'Pasture 9'!E119</f>
        <v>361.6</v>
      </c>
      <c r="AE119" s="106">
        <f>'Pasture 10'!E119</f>
        <v>240.42</v>
      </c>
      <c r="AF119" s="107"/>
      <c r="AG119" s="106">
        <f>'Pasture 11A'!E106</f>
        <v>79.180000000000007</v>
      </c>
      <c r="AH119" s="106">
        <f>'Pasture 11B'!E106</f>
        <v>85.66</v>
      </c>
      <c r="AI119" s="106">
        <f>'Pasture 11C'!E106</f>
        <v>86.75</v>
      </c>
      <c r="AJ119" s="107"/>
      <c r="AK119" s="106">
        <f>'Pasture 12A'!E103</f>
        <v>402.85</v>
      </c>
      <c r="AL119" s="106">
        <f>'Pasture 12B'!E103</f>
        <v>666</v>
      </c>
      <c r="AM119" s="106">
        <f>'Pasture 12C'!E103</f>
        <v>763.69</v>
      </c>
      <c r="AN119" s="106">
        <f>'Pasture 12D'!E103</f>
        <v>433.85</v>
      </c>
      <c r="AO119" s="106">
        <f>'Pasture 12E'!E103</f>
        <v>998.77</v>
      </c>
      <c r="AP119" s="119">
        <f>'Pasture 15'!E99</f>
        <v>1707.4</v>
      </c>
      <c r="AQ119" s="106">
        <f>'Pasture 140'!E87</f>
        <v>62.28</v>
      </c>
      <c r="AS119" s="105">
        <v>2025</v>
      </c>
      <c r="AT119" s="111">
        <f>SUM(B119:AQ119)</f>
        <v>19535.669000000002</v>
      </c>
      <c r="AU119" s="111">
        <v>21472.18</v>
      </c>
      <c r="AV119" s="111">
        <f>(AT119/AU119)*100</f>
        <v>90.981302317696674</v>
      </c>
    </row>
    <row r="120" spans="1:48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T120" s="1"/>
      <c r="AU120" s="1"/>
      <c r="AV120" s="1"/>
    </row>
  </sheetData>
  <pageMargins left="0.7" right="0.7" top="0.75" bottom="0.75" header="0.3" footer="0.3"/>
  <pageSetup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1093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5546875" style="56" customWidth="1"/>
    <col min="18" max="18" width="9.5546875" style="56" customWidth="1"/>
    <col min="19" max="19" width="11.109375" style="56" customWidth="1"/>
    <col min="20" max="20" width="12" style="56" customWidth="1"/>
    <col min="21" max="16384" width="9.109375" style="40"/>
  </cols>
  <sheetData>
    <row r="1" spans="1:20" ht="15" x14ac:dyDescent="0.25">
      <c r="A1" s="120" t="s">
        <v>34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>D23/B23</f>
        <v>252.95833333333337</v>
      </c>
      <c r="D23" s="51">
        <f>SUM(I23:T23)</f>
        <v>3035.5000000000005</v>
      </c>
      <c r="E23" s="49">
        <v>3108.65</v>
      </c>
      <c r="F23" s="49">
        <f>E23/C23</f>
        <v>12.289178059627737</v>
      </c>
      <c r="G23" s="52">
        <f>C23/E23</f>
        <v>8.1372407100617106E-2</v>
      </c>
      <c r="H23" s="91"/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91.8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ref="C24:C87" si="4">D24/B24</f>
        <v>85.633333333333326</v>
      </c>
      <c r="D24" s="51">
        <f>SUM(I24:T24)</f>
        <v>1027.5999999999999</v>
      </c>
      <c r="E24" s="49">
        <v>1479.89</v>
      </c>
      <c r="F24" s="49">
        <f t="shared" ref="F24:F87" si="5">E24/C24</f>
        <v>17.281704943557806</v>
      </c>
      <c r="G24" s="52">
        <f t="shared" ref="G24:G87" si="6">C24/E24</f>
        <v>5.7864661112199775E-2</v>
      </c>
      <c r="I24" s="49">
        <v>84.6</v>
      </c>
      <c r="J24" s="49">
        <v>80</v>
      </c>
      <c r="K24" s="49">
        <v>80</v>
      </c>
      <c r="L24" s="49">
        <v>87</v>
      </c>
      <c r="M24" s="49">
        <v>87</v>
      </c>
      <c r="N24" s="49">
        <v>87</v>
      </c>
      <c r="O24" s="49">
        <v>87</v>
      </c>
      <c r="P24" s="49">
        <v>87</v>
      </c>
      <c r="Q24" s="49">
        <v>87</v>
      </c>
      <c r="R24" s="49">
        <v>87</v>
      </c>
      <c r="S24" s="49">
        <v>87</v>
      </c>
      <c r="T24" s="49">
        <v>87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4"/>
        <v>78.783333333333346</v>
      </c>
      <c r="D25" s="51">
        <f t="shared" ref="D25:D88" si="7">SUM(I25:T25)</f>
        <v>945.40000000000009</v>
      </c>
      <c r="E25" s="49">
        <v>1479.89</v>
      </c>
      <c r="F25" s="49">
        <f t="shared" si="5"/>
        <v>18.784302940554262</v>
      </c>
      <c r="G25" s="52">
        <f t="shared" si="6"/>
        <v>5.323593870715617E-2</v>
      </c>
      <c r="I25" s="49">
        <v>85.5</v>
      </c>
      <c r="J25" s="49">
        <v>85</v>
      </c>
      <c r="K25" s="49">
        <v>85.3</v>
      </c>
      <c r="L25" s="49">
        <v>86</v>
      </c>
      <c r="M25" s="49">
        <v>86</v>
      </c>
      <c r="N25" s="49">
        <v>85.4</v>
      </c>
      <c r="O25" s="49">
        <v>92.6</v>
      </c>
      <c r="P25" s="49">
        <v>95</v>
      </c>
      <c r="Q25" s="49">
        <v>95</v>
      </c>
      <c r="R25" s="49">
        <v>93.9</v>
      </c>
      <c r="S25" s="49">
        <v>44</v>
      </c>
      <c r="T25" s="49">
        <v>11.7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4"/>
        <v>5.6833333333333336</v>
      </c>
      <c r="D26" s="51">
        <f t="shared" si="7"/>
        <v>68.2</v>
      </c>
      <c r="E26" s="49">
        <v>1479.89</v>
      </c>
      <c r="F26" s="49">
        <f t="shared" si="5"/>
        <v>260.39120234604104</v>
      </c>
      <c r="G26" s="52">
        <f t="shared" si="6"/>
        <v>3.8403755234060187E-3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</v>
      </c>
      <c r="Q26" s="49">
        <v>5</v>
      </c>
      <c r="R26" s="49">
        <v>5</v>
      </c>
      <c r="S26" s="49">
        <v>10</v>
      </c>
      <c r="T26" s="49">
        <v>46.2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4"/>
        <v>54.133333333333333</v>
      </c>
      <c r="D27" s="51">
        <f t="shared" si="7"/>
        <v>649.6</v>
      </c>
      <c r="E27" s="49">
        <v>1479.89</v>
      </c>
      <c r="F27" s="49">
        <f t="shared" si="5"/>
        <v>27.337869458128083</v>
      </c>
      <c r="G27" s="52">
        <f t="shared" si="6"/>
        <v>3.6579295307984601E-2</v>
      </c>
      <c r="I27" s="49">
        <v>56</v>
      </c>
      <c r="J27" s="49">
        <v>56</v>
      </c>
      <c r="K27" s="49">
        <v>55</v>
      </c>
      <c r="L27" s="49">
        <v>56</v>
      </c>
      <c r="M27" s="49">
        <v>56</v>
      </c>
      <c r="N27" s="49">
        <v>56</v>
      </c>
      <c r="O27" s="49">
        <v>51.6</v>
      </c>
      <c r="P27" s="49">
        <v>51</v>
      </c>
      <c r="Q27" s="49">
        <v>51</v>
      </c>
      <c r="R27" s="49">
        <v>53</v>
      </c>
      <c r="S27" s="49">
        <v>54</v>
      </c>
      <c r="T27" s="49">
        <v>54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4"/>
        <v>52.291666666666664</v>
      </c>
      <c r="D28" s="51">
        <f t="shared" si="7"/>
        <v>627.5</v>
      </c>
      <c r="E28" s="49">
        <v>1479.89</v>
      </c>
      <c r="F28" s="49">
        <f t="shared" si="5"/>
        <v>28.300685258964148</v>
      </c>
      <c r="G28" s="52">
        <f t="shared" si="6"/>
        <v>3.5334833444828101E-2</v>
      </c>
      <c r="I28" s="49">
        <v>54</v>
      </c>
      <c r="J28" s="49">
        <v>54</v>
      </c>
      <c r="K28" s="49">
        <v>54</v>
      </c>
      <c r="L28" s="49">
        <v>54</v>
      </c>
      <c r="M28" s="49">
        <v>54</v>
      </c>
      <c r="N28" s="49">
        <v>54</v>
      </c>
      <c r="O28" s="49">
        <v>54</v>
      </c>
      <c r="P28" s="49">
        <v>54</v>
      </c>
      <c r="Q28" s="49">
        <v>54</v>
      </c>
      <c r="R28" s="49">
        <v>47</v>
      </c>
      <c r="S28" s="49">
        <v>46.6</v>
      </c>
      <c r="T28" s="49">
        <v>47.9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4"/>
        <v>50.833333333333336</v>
      </c>
      <c r="D29" s="51">
        <f t="shared" si="7"/>
        <v>610</v>
      </c>
      <c r="E29" s="49">
        <v>1479.89</v>
      </c>
      <c r="F29" s="49">
        <f t="shared" si="5"/>
        <v>29.112590163934428</v>
      </c>
      <c r="G29" s="52">
        <f t="shared" si="6"/>
        <v>3.4349399842781105E-2</v>
      </c>
      <c r="I29" s="49">
        <v>50</v>
      </c>
      <c r="J29" s="49">
        <v>50</v>
      </c>
      <c r="K29" s="49">
        <v>50</v>
      </c>
      <c r="L29" s="49">
        <v>50.1</v>
      </c>
      <c r="M29" s="49">
        <v>47.7</v>
      </c>
      <c r="N29" s="49">
        <v>56</v>
      </c>
      <c r="O29" s="49">
        <v>52.2</v>
      </c>
      <c r="P29" s="49">
        <v>53.5</v>
      </c>
      <c r="Q29" s="49">
        <v>55</v>
      </c>
      <c r="R29" s="49">
        <v>41.5</v>
      </c>
      <c r="S29" s="49">
        <v>39</v>
      </c>
      <c r="T29" s="49">
        <v>65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4"/>
        <v>66.283333333333346</v>
      </c>
      <c r="D30" s="51">
        <f t="shared" si="7"/>
        <v>795.40000000000009</v>
      </c>
      <c r="E30" s="49">
        <v>1479.89</v>
      </c>
      <c r="F30" s="49">
        <f t="shared" si="5"/>
        <v>22.326728689967311</v>
      </c>
      <c r="G30" s="52">
        <f t="shared" si="6"/>
        <v>4.478936497532475E-2</v>
      </c>
      <c r="I30" s="49">
        <v>65</v>
      </c>
      <c r="J30" s="49">
        <v>65</v>
      </c>
      <c r="K30" s="49">
        <v>65</v>
      </c>
      <c r="L30" s="49">
        <v>69</v>
      </c>
      <c r="M30" s="49">
        <v>69</v>
      </c>
      <c r="N30" s="49">
        <v>69</v>
      </c>
      <c r="O30" s="49">
        <v>68.2</v>
      </c>
      <c r="P30" s="49">
        <v>68.5</v>
      </c>
      <c r="Q30" s="49">
        <v>70</v>
      </c>
      <c r="R30" s="49">
        <v>68.8</v>
      </c>
      <c r="S30" s="49">
        <v>55.2</v>
      </c>
      <c r="T30" s="49">
        <v>62.7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4"/>
        <v>66.683333333333323</v>
      </c>
      <c r="D31" s="51">
        <f t="shared" si="7"/>
        <v>800.19999999999993</v>
      </c>
      <c r="E31" s="49">
        <v>1479.89</v>
      </c>
      <c r="F31" s="49">
        <f t="shared" si="5"/>
        <v>22.192801799550118</v>
      </c>
      <c r="G31" s="52">
        <f t="shared" si="6"/>
        <v>4.5059655334743341E-2</v>
      </c>
      <c r="I31" s="49">
        <v>65</v>
      </c>
      <c r="J31" s="49">
        <v>65</v>
      </c>
      <c r="K31" s="49">
        <v>57.8</v>
      </c>
      <c r="L31" s="49">
        <v>67.099999999999994</v>
      </c>
      <c r="M31" s="49">
        <v>69</v>
      </c>
      <c r="N31" s="49">
        <v>69</v>
      </c>
      <c r="O31" s="49">
        <v>69</v>
      </c>
      <c r="P31" s="49">
        <v>69</v>
      </c>
      <c r="Q31" s="49">
        <v>69</v>
      </c>
      <c r="R31" s="49">
        <v>59.8</v>
      </c>
      <c r="S31" s="49">
        <v>65.5</v>
      </c>
      <c r="T31" s="49">
        <v>75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4"/>
        <v>76.133333333333326</v>
      </c>
      <c r="D32" s="51">
        <f t="shared" si="7"/>
        <v>913.59999999999991</v>
      </c>
      <c r="E32" s="49">
        <v>1479.89</v>
      </c>
      <c r="F32" s="49">
        <f t="shared" si="5"/>
        <v>19.438134851138358</v>
      </c>
      <c r="G32" s="52">
        <f t="shared" si="6"/>
        <v>5.1445265076007891E-2</v>
      </c>
      <c r="I32" s="49">
        <v>75</v>
      </c>
      <c r="J32" s="49">
        <v>75</v>
      </c>
      <c r="K32" s="49">
        <v>75</v>
      </c>
      <c r="L32" s="49">
        <v>80</v>
      </c>
      <c r="M32" s="49">
        <v>80</v>
      </c>
      <c r="N32" s="49">
        <v>80</v>
      </c>
      <c r="O32" s="49">
        <v>80</v>
      </c>
      <c r="P32" s="49">
        <v>80</v>
      </c>
      <c r="Q32" s="49">
        <v>80</v>
      </c>
      <c r="R32" s="49">
        <v>74.3</v>
      </c>
      <c r="S32" s="49">
        <v>49.3</v>
      </c>
      <c r="T32" s="49">
        <v>85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4"/>
        <v>82.041666666666671</v>
      </c>
      <c r="D33" s="51">
        <f t="shared" si="7"/>
        <v>984.5</v>
      </c>
      <c r="E33" s="49">
        <v>1479.89</v>
      </c>
      <c r="F33" s="49">
        <f t="shared" si="5"/>
        <v>18.038273235144743</v>
      </c>
      <c r="G33" s="52">
        <f t="shared" si="6"/>
        <v>5.5437678926586888E-2</v>
      </c>
      <c r="I33" s="49">
        <v>85</v>
      </c>
      <c r="J33" s="49">
        <v>85</v>
      </c>
      <c r="K33" s="49">
        <v>85</v>
      </c>
      <c r="L33" s="49">
        <v>90</v>
      </c>
      <c r="M33" s="49">
        <v>90</v>
      </c>
      <c r="N33" s="49">
        <v>90</v>
      </c>
      <c r="O33" s="49">
        <v>90</v>
      </c>
      <c r="P33" s="49">
        <v>87.9</v>
      </c>
      <c r="Q33" s="49">
        <v>88.1</v>
      </c>
      <c r="R33" s="49">
        <v>72.599999999999994</v>
      </c>
      <c r="S33" s="49">
        <v>37.799999999999997</v>
      </c>
      <c r="T33" s="49">
        <v>83.1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4"/>
        <v>84.858333333333334</v>
      </c>
      <c r="D34" s="51">
        <f t="shared" si="7"/>
        <v>1018.3</v>
      </c>
      <c r="E34" s="49">
        <v>1479.89</v>
      </c>
      <c r="F34" s="49">
        <f t="shared" si="5"/>
        <v>17.439536482372581</v>
      </c>
      <c r="G34" s="52">
        <f t="shared" si="6"/>
        <v>5.7340973540826227E-2</v>
      </c>
      <c r="I34" s="49">
        <v>86</v>
      </c>
      <c r="J34" s="49">
        <v>85</v>
      </c>
      <c r="K34" s="49">
        <v>85.4</v>
      </c>
      <c r="L34" s="49">
        <v>90</v>
      </c>
      <c r="M34" s="49">
        <v>90</v>
      </c>
      <c r="N34" s="49">
        <v>90</v>
      </c>
      <c r="O34" s="49">
        <v>90</v>
      </c>
      <c r="P34" s="49">
        <v>90</v>
      </c>
      <c r="Q34" s="49">
        <v>90</v>
      </c>
      <c r="R34" s="49">
        <v>71.900000000000006</v>
      </c>
      <c r="S34" s="49">
        <v>75</v>
      </c>
      <c r="T34" s="49">
        <v>75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4"/>
        <v>76.108333333333334</v>
      </c>
      <c r="D35" s="51">
        <f t="shared" si="7"/>
        <v>913.3</v>
      </c>
      <c r="E35" s="49">
        <v>1479.89</v>
      </c>
      <c r="F35" s="49">
        <f t="shared" si="5"/>
        <v>19.444519872988067</v>
      </c>
      <c r="G35" s="52">
        <f t="shared" si="6"/>
        <v>5.1428371928544235E-2</v>
      </c>
      <c r="I35" s="49">
        <v>75</v>
      </c>
      <c r="J35" s="49">
        <v>75</v>
      </c>
      <c r="K35" s="49">
        <v>78</v>
      </c>
      <c r="L35" s="49">
        <v>74.3</v>
      </c>
      <c r="M35" s="49">
        <v>73.599999999999994</v>
      </c>
      <c r="N35" s="49">
        <v>80</v>
      </c>
      <c r="O35" s="49">
        <v>80</v>
      </c>
      <c r="P35" s="49">
        <v>80</v>
      </c>
      <c r="Q35" s="49">
        <v>80</v>
      </c>
      <c r="R35" s="49">
        <v>80</v>
      </c>
      <c r="S35" s="49">
        <v>74.400000000000006</v>
      </c>
      <c r="T35" s="49">
        <v>63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4"/>
        <v>76.808333333333323</v>
      </c>
      <c r="D36" s="51">
        <f t="shared" si="7"/>
        <v>921.69999999999993</v>
      </c>
      <c r="E36" s="49">
        <v>1479.89</v>
      </c>
      <c r="F36" s="49">
        <f t="shared" si="5"/>
        <v>19.267310404686995</v>
      </c>
      <c r="G36" s="52">
        <f t="shared" si="6"/>
        <v>5.1901380057526786E-2</v>
      </c>
      <c r="I36" s="49">
        <v>75</v>
      </c>
      <c r="J36" s="49">
        <v>75</v>
      </c>
      <c r="K36" s="49">
        <v>75.5</v>
      </c>
      <c r="L36" s="49">
        <v>80.7</v>
      </c>
      <c r="M36" s="49">
        <v>81</v>
      </c>
      <c r="N36" s="49">
        <v>81</v>
      </c>
      <c r="O36" s="49">
        <v>80.099999999999994</v>
      </c>
      <c r="P36" s="49">
        <v>80</v>
      </c>
      <c r="Q36" s="49">
        <v>80</v>
      </c>
      <c r="R36" s="49">
        <v>64.8</v>
      </c>
      <c r="S36" s="49">
        <v>68.599999999999994</v>
      </c>
      <c r="T36" s="49">
        <v>80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4"/>
        <v>82.50833333333334</v>
      </c>
      <c r="D37" s="51">
        <f t="shared" si="7"/>
        <v>990.1</v>
      </c>
      <c r="E37" s="49">
        <v>1479.89</v>
      </c>
      <c r="F37" s="49">
        <f t="shared" si="5"/>
        <v>17.936248863751135</v>
      </c>
      <c r="G37" s="52">
        <f t="shared" si="6"/>
        <v>5.5753017679241929E-2</v>
      </c>
      <c r="I37" s="49">
        <v>80</v>
      </c>
      <c r="J37" s="49">
        <v>79.099999999999994</v>
      </c>
      <c r="K37" s="49">
        <v>80</v>
      </c>
      <c r="L37" s="49">
        <v>85</v>
      </c>
      <c r="M37" s="49">
        <v>85</v>
      </c>
      <c r="N37" s="49">
        <v>85</v>
      </c>
      <c r="O37" s="49">
        <v>85</v>
      </c>
      <c r="P37" s="49">
        <v>85</v>
      </c>
      <c r="Q37" s="49">
        <v>85</v>
      </c>
      <c r="R37" s="49">
        <v>63.5</v>
      </c>
      <c r="S37" s="49">
        <v>87.5</v>
      </c>
      <c r="T37" s="49">
        <v>90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4"/>
        <v>93.491666666666674</v>
      </c>
      <c r="D38" s="51">
        <f t="shared" si="7"/>
        <v>1121.9000000000001</v>
      </c>
      <c r="E38" s="49">
        <v>1479.89</v>
      </c>
      <c r="F38" s="49">
        <f t="shared" si="5"/>
        <v>15.829111328995454</v>
      </c>
      <c r="G38" s="52">
        <f t="shared" si="6"/>
        <v>6.3174740464944465E-2</v>
      </c>
      <c r="I38" s="49">
        <v>90</v>
      </c>
      <c r="J38" s="49">
        <v>90</v>
      </c>
      <c r="K38" s="49">
        <v>93.2</v>
      </c>
      <c r="L38" s="49">
        <v>96</v>
      </c>
      <c r="M38" s="49">
        <v>96</v>
      </c>
      <c r="N38" s="49">
        <v>96</v>
      </c>
      <c r="O38" s="49">
        <v>96</v>
      </c>
      <c r="P38" s="49">
        <v>95.8</v>
      </c>
      <c r="Q38" s="49">
        <v>96</v>
      </c>
      <c r="R38" s="49">
        <v>76.599999999999994</v>
      </c>
      <c r="S38" s="49">
        <v>96.3</v>
      </c>
      <c r="T38" s="49">
        <v>100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4"/>
        <v>107.875</v>
      </c>
      <c r="D39" s="51">
        <f t="shared" si="7"/>
        <v>1294.5</v>
      </c>
      <c r="E39" s="49">
        <v>1479.89</v>
      </c>
      <c r="F39" s="49">
        <f t="shared" si="5"/>
        <v>13.718563151796062</v>
      </c>
      <c r="G39" s="52">
        <f t="shared" si="6"/>
        <v>7.2893931305705151E-2</v>
      </c>
      <c r="I39" s="49">
        <v>100</v>
      </c>
      <c r="J39" s="49">
        <v>100</v>
      </c>
      <c r="K39" s="49">
        <v>104.5</v>
      </c>
      <c r="L39" s="49">
        <v>113</v>
      </c>
      <c r="M39" s="49">
        <v>113</v>
      </c>
      <c r="N39" s="49">
        <v>113</v>
      </c>
      <c r="O39" s="49">
        <v>112.6</v>
      </c>
      <c r="P39" s="49">
        <v>113</v>
      </c>
      <c r="Q39" s="49">
        <v>113</v>
      </c>
      <c r="R39" s="49">
        <v>113</v>
      </c>
      <c r="S39" s="49">
        <v>99.4</v>
      </c>
      <c r="T39" s="49">
        <v>100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4"/>
        <v>103.22500000000001</v>
      </c>
      <c r="D40" s="51">
        <f t="shared" si="7"/>
        <v>1238.7</v>
      </c>
      <c r="E40" s="49">
        <v>1479.89</v>
      </c>
      <c r="F40" s="49">
        <f t="shared" si="5"/>
        <v>14.336546379268588</v>
      </c>
      <c r="G40" s="52">
        <f t="shared" si="6"/>
        <v>6.9751805877463866E-2</v>
      </c>
      <c r="I40" s="49">
        <v>100</v>
      </c>
      <c r="J40" s="49">
        <v>100</v>
      </c>
      <c r="K40" s="49">
        <v>100.4</v>
      </c>
      <c r="L40" s="49">
        <v>107</v>
      </c>
      <c r="M40" s="49">
        <v>107</v>
      </c>
      <c r="N40" s="49">
        <v>107</v>
      </c>
      <c r="O40" s="49">
        <v>107</v>
      </c>
      <c r="P40" s="49">
        <v>107</v>
      </c>
      <c r="Q40" s="49">
        <v>107</v>
      </c>
      <c r="R40" s="49">
        <v>96.9</v>
      </c>
      <c r="S40" s="49">
        <v>99.4</v>
      </c>
      <c r="T40" s="49">
        <v>100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4"/>
        <v>101.80833333333334</v>
      </c>
      <c r="D41" s="51">
        <f t="shared" si="7"/>
        <v>1221.7</v>
      </c>
      <c r="E41" s="49">
        <v>1479.89</v>
      </c>
      <c r="F41" s="49">
        <f t="shared" si="5"/>
        <v>14.536039944339855</v>
      </c>
      <c r="G41" s="52">
        <f t="shared" si="6"/>
        <v>6.8794527521189641E-2</v>
      </c>
      <c r="I41" s="49">
        <v>100</v>
      </c>
      <c r="J41" s="49">
        <v>99.8</v>
      </c>
      <c r="K41" s="49">
        <v>105</v>
      </c>
      <c r="L41" s="49">
        <v>105</v>
      </c>
      <c r="M41" s="49">
        <v>105.7</v>
      </c>
      <c r="N41" s="49">
        <v>106</v>
      </c>
      <c r="O41" s="49">
        <v>106</v>
      </c>
      <c r="P41" s="49">
        <v>106</v>
      </c>
      <c r="Q41" s="49">
        <v>106</v>
      </c>
      <c r="R41" s="49">
        <v>85.4</v>
      </c>
      <c r="S41" s="49">
        <v>96.8</v>
      </c>
      <c r="T41" s="49">
        <v>100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4"/>
        <v>93.27500000000002</v>
      </c>
      <c r="D42" s="51">
        <f t="shared" si="7"/>
        <v>1119.3000000000002</v>
      </c>
      <c r="E42" s="49">
        <v>1479.89</v>
      </c>
      <c r="F42" s="49">
        <f t="shared" si="5"/>
        <v>15.86588046100241</v>
      </c>
      <c r="G42" s="52">
        <f t="shared" si="6"/>
        <v>6.3028333186926064E-2</v>
      </c>
      <c r="I42" s="49">
        <v>100</v>
      </c>
      <c r="J42" s="49">
        <v>100</v>
      </c>
      <c r="K42" s="49">
        <v>107.7</v>
      </c>
      <c r="L42" s="49">
        <v>105.5</v>
      </c>
      <c r="M42" s="49">
        <v>89.2</v>
      </c>
      <c r="N42" s="49">
        <v>97.1</v>
      </c>
      <c r="O42" s="49">
        <v>97</v>
      </c>
      <c r="P42" s="49">
        <v>97</v>
      </c>
      <c r="Q42" s="49">
        <v>97.7</v>
      </c>
      <c r="R42" s="49">
        <v>90.2</v>
      </c>
      <c r="S42" s="49">
        <v>65.900000000000006</v>
      </c>
      <c r="T42" s="49">
        <v>72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4"/>
        <v>73.166666666666671</v>
      </c>
      <c r="D43" s="51">
        <f t="shared" si="7"/>
        <v>878</v>
      </c>
      <c r="E43" s="49">
        <v>1479.89</v>
      </c>
      <c r="F43" s="49">
        <f t="shared" si="5"/>
        <v>20.226287015945331</v>
      </c>
      <c r="G43" s="52">
        <f t="shared" si="6"/>
        <v>4.9440611576986579E-2</v>
      </c>
      <c r="I43" s="49">
        <v>72</v>
      </c>
      <c r="J43" s="49">
        <v>72</v>
      </c>
      <c r="K43" s="49">
        <v>81</v>
      </c>
      <c r="L43" s="49">
        <v>81</v>
      </c>
      <c r="M43" s="49">
        <v>81</v>
      </c>
      <c r="N43" s="49">
        <v>81</v>
      </c>
      <c r="O43" s="49">
        <v>81</v>
      </c>
      <c r="P43" s="49">
        <v>81</v>
      </c>
      <c r="Q43" s="49">
        <v>81</v>
      </c>
      <c r="R43" s="49">
        <v>67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4"/>
        <v>54.891666666666673</v>
      </c>
      <c r="D44" s="51">
        <f t="shared" si="7"/>
        <v>658.7</v>
      </c>
      <c r="E44" s="49">
        <v>1479.89</v>
      </c>
      <c r="F44" s="49">
        <f t="shared" si="5"/>
        <v>26.960194322149686</v>
      </c>
      <c r="G44" s="52">
        <f t="shared" si="6"/>
        <v>3.7091720781049047E-2</v>
      </c>
      <c r="I44" s="49">
        <v>50</v>
      </c>
      <c r="J44" s="49">
        <v>50</v>
      </c>
      <c r="K44" s="49">
        <v>55</v>
      </c>
      <c r="L44" s="49">
        <v>53.8</v>
      </c>
      <c r="M44" s="49">
        <v>53</v>
      </c>
      <c r="N44" s="49">
        <v>53</v>
      </c>
      <c r="O44" s="49">
        <v>53</v>
      </c>
      <c r="P44" s="49">
        <v>51.9</v>
      </c>
      <c r="Q44" s="49">
        <v>60.6</v>
      </c>
      <c r="R44" s="49">
        <v>47.3</v>
      </c>
      <c r="S44" s="49">
        <v>61.1</v>
      </c>
      <c r="T44" s="49">
        <v>70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4"/>
        <v>70.25833333333334</v>
      </c>
      <c r="D45" s="51">
        <f t="shared" si="7"/>
        <v>843.1</v>
      </c>
      <c r="E45" s="49">
        <v>1479.89</v>
      </c>
      <c r="F45" s="49">
        <f t="shared" si="5"/>
        <v>21.063551180168425</v>
      </c>
      <c r="G45" s="52">
        <f t="shared" si="6"/>
        <v>4.7475375422047134E-2</v>
      </c>
      <c r="I45" s="49">
        <v>70</v>
      </c>
      <c r="J45" s="49">
        <v>70</v>
      </c>
      <c r="K45" s="49">
        <v>75</v>
      </c>
      <c r="L45" s="49">
        <v>75</v>
      </c>
      <c r="M45" s="49">
        <v>70.7</v>
      </c>
      <c r="N45" s="49">
        <v>75</v>
      </c>
      <c r="O45" s="49">
        <v>70</v>
      </c>
      <c r="P45" s="49">
        <v>70</v>
      </c>
      <c r="Q45" s="49">
        <v>70</v>
      </c>
      <c r="R45" s="49">
        <v>50.4</v>
      </c>
      <c r="S45" s="49">
        <v>72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4"/>
        <v>78.60833333333332</v>
      </c>
      <c r="D46" s="51">
        <f t="shared" si="7"/>
        <v>943.29999999999984</v>
      </c>
      <c r="E46" s="49">
        <v>1479.89</v>
      </c>
      <c r="F46" s="49">
        <f t="shared" si="5"/>
        <v>18.82612106434857</v>
      </c>
      <c r="G46" s="52">
        <f t="shared" si="6"/>
        <v>5.3117686674910507E-2</v>
      </c>
      <c r="I46" s="49">
        <v>75</v>
      </c>
      <c r="J46" s="49">
        <v>75</v>
      </c>
      <c r="K46" s="49">
        <v>80.900000000000006</v>
      </c>
      <c r="L46" s="49">
        <v>78.400000000000006</v>
      </c>
      <c r="M46" s="49">
        <v>77.599999999999994</v>
      </c>
      <c r="N46" s="49">
        <v>76</v>
      </c>
      <c r="O46" s="49">
        <v>75.8</v>
      </c>
      <c r="P46" s="49">
        <v>75.8</v>
      </c>
      <c r="Q46" s="49">
        <v>76</v>
      </c>
      <c r="R46" s="49">
        <v>71.8</v>
      </c>
      <c r="S46" s="49">
        <v>86</v>
      </c>
      <c r="T46" s="49">
        <v>95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4"/>
        <v>92.899999999999991</v>
      </c>
      <c r="D47" s="51">
        <f t="shared" si="7"/>
        <v>1114.8</v>
      </c>
      <c r="E47" s="49">
        <v>1479.89</v>
      </c>
      <c r="F47" s="49">
        <f t="shared" si="5"/>
        <v>15.929924650161466</v>
      </c>
      <c r="G47" s="52">
        <f t="shared" si="6"/>
        <v>6.2774935974971108E-2</v>
      </c>
      <c r="I47" s="49">
        <v>107.6</v>
      </c>
      <c r="J47" s="49">
        <v>107.5</v>
      </c>
      <c r="K47" s="49">
        <v>111</v>
      </c>
      <c r="L47" s="49">
        <v>102.2</v>
      </c>
      <c r="M47" s="49">
        <v>101</v>
      </c>
      <c r="N47" s="49">
        <v>101</v>
      </c>
      <c r="O47" s="49">
        <v>101</v>
      </c>
      <c r="P47" s="49">
        <v>100.2</v>
      </c>
      <c r="Q47" s="49">
        <v>101</v>
      </c>
      <c r="R47" s="49">
        <v>87.7</v>
      </c>
      <c r="S47" s="49">
        <v>44.6</v>
      </c>
      <c r="T47" s="49">
        <v>50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4"/>
        <v>56.44166666666667</v>
      </c>
      <c r="D48" s="51">
        <f t="shared" si="7"/>
        <v>677.30000000000007</v>
      </c>
      <c r="E48" s="49">
        <v>1479.89</v>
      </c>
      <c r="F48" s="49">
        <f t="shared" si="5"/>
        <v>26.219813967222798</v>
      </c>
      <c r="G48" s="52">
        <f t="shared" si="6"/>
        <v>3.8139095923796135E-2</v>
      </c>
      <c r="I48" s="49">
        <v>50</v>
      </c>
      <c r="J48" s="49">
        <v>50.1</v>
      </c>
      <c r="K48" s="49">
        <v>54</v>
      </c>
      <c r="L48" s="49">
        <v>54</v>
      </c>
      <c r="M48" s="49">
        <v>54</v>
      </c>
      <c r="N48" s="49">
        <v>47.5</v>
      </c>
      <c r="O48" s="49">
        <v>41</v>
      </c>
      <c r="P48" s="49">
        <v>52.6</v>
      </c>
      <c r="Q48" s="49">
        <v>52.4</v>
      </c>
      <c r="R48" s="49">
        <v>29.8</v>
      </c>
      <c r="S48" s="49">
        <v>91.9</v>
      </c>
      <c r="T48" s="49">
        <v>100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4"/>
        <v>87.166666666666671</v>
      </c>
      <c r="D49" s="51">
        <f t="shared" si="7"/>
        <v>1046</v>
      </c>
      <c r="E49" s="49">
        <v>1479.89</v>
      </c>
      <c r="F49" s="49">
        <f t="shared" si="5"/>
        <v>16.97770554493308</v>
      </c>
      <c r="G49" s="52">
        <f t="shared" si="6"/>
        <v>5.8900774156637768E-2</v>
      </c>
      <c r="I49" s="49">
        <v>100</v>
      </c>
      <c r="J49" s="49">
        <v>100</v>
      </c>
      <c r="K49" s="49">
        <v>105</v>
      </c>
      <c r="L49" s="49">
        <v>104.3</v>
      </c>
      <c r="M49" s="49">
        <v>101.4</v>
      </c>
      <c r="N49" s="49">
        <v>99</v>
      </c>
      <c r="O49" s="49">
        <v>102</v>
      </c>
      <c r="P49" s="49">
        <v>101.4</v>
      </c>
      <c r="Q49" s="49">
        <v>102</v>
      </c>
      <c r="R49" s="49">
        <v>43.9</v>
      </c>
      <c r="S49" s="49">
        <v>42</v>
      </c>
      <c r="T49" s="49">
        <v>45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4"/>
        <v>50.391666666666673</v>
      </c>
      <c r="D50" s="51">
        <f t="shared" si="7"/>
        <v>604.70000000000005</v>
      </c>
      <c r="E50" s="49">
        <v>1479.89</v>
      </c>
      <c r="F50" s="49">
        <f t="shared" si="5"/>
        <v>29.367752604597321</v>
      </c>
      <c r="G50" s="52">
        <f t="shared" si="6"/>
        <v>3.4050954237589734E-2</v>
      </c>
      <c r="I50" s="49">
        <v>45</v>
      </c>
      <c r="J50" s="49">
        <v>45</v>
      </c>
      <c r="K50" s="49">
        <v>48</v>
      </c>
      <c r="L50" s="49">
        <v>44.7</v>
      </c>
      <c r="M50" s="49">
        <v>49.2</v>
      </c>
      <c r="N50" s="49">
        <v>50</v>
      </c>
      <c r="O50" s="49">
        <v>50</v>
      </c>
      <c r="P50" s="49">
        <v>50</v>
      </c>
      <c r="Q50" s="49">
        <v>50</v>
      </c>
      <c r="R50" s="49">
        <v>51.5</v>
      </c>
      <c r="S50" s="49">
        <v>48.1</v>
      </c>
      <c r="T50" s="49">
        <v>73.2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4"/>
        <v>66.608333333333334</v>
      </c>
      <c r="D51" s="51">
        <f t="shared" si="7"/>
        <v>799.3</v>
      </c>
      <c r="E51" s="49">
        <v>1479.89</v>
      </c>
      <c r="F51" s="49">
        <f t="shared" si="5"/>
        <v>22.217790566745904</v>
      </c>
      <c r="G51" s="52">
        <f t="shared" si="6"/>
        <v>4.5008975892352358E-2</v>
      </c>
      <c r="I51" s="49">
        <v>66</v>
      </c>
      <c r="J51" s="49">
        <v>66</v>
      </c>
      <c r="K51" s="49">
        <v>70</v>
      </c>
      <c r="L51" s="49">
        <v>70</v>
      </c>
      <c r="M51" s="49">
        <v>70</v>
      </c>
      <c r="N51" s="49">
        <v>70</v>
      </c>
      <c r="O51" s="49">
        <v>70</v>
      </c>
      <c r="P51" s="49">
        <v>70</v>
      </c>
      <c r="Q51" s="49">
        <v>70</v>
      </c>
      <c r="R51" s="49">
        <v>70</v>
      </c>
      <c r="S51" s="49">
        <v>51.3</v>
      </c>
      <c r="T51" s="49">
        <v>56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4"/>
        <v>57.79999999999999</v>
      </c>
      <c r="D52" s="51">
        <f t="shared" si="7"/>
        <v>693.59999999999991</v>
      </c>
      <c r="E52" s="49">
        <v>1479.89</v>
      </c>
      <c r="F52" s="49">
        <f t="shared" si="5"/>
        <v>25.603633217993085</v>
      </c>
      <c r="G52" s="52">
        <f t="shared" si="6"/>
        <v>3.9056956935988478E-2</v>
      </c>
      <c r="I52" s="49">
        <v>64.400000000000006</v>
      </c>
      <c r="J52" s="49">
        <v>64.400000000000006</v>
      </c>
      <c r="K52" s="49">
        <v>66.2</v>
      </c>
      <c r="L52" s="49">
        <v>68.400000000000006</v>
      </c>
      <c r="M52" s="49">
        <v>65.7</v>
      </c>
      <c r="N52" s="49">
        <v>58</v>
      </c>
      <c r="O52" s="49">
        <v>58</v>
      </c>
      <c r="P52" s="49">
        <v>58</v>
      </c>
      <c r="Q52" s="49">
        <v>58</v>
      </c>
      <c r="R52" s="49">
        <v>58</v>
      </c>
      <c r="S52" s="49">
        <v>38.9</v>
      </c>
      <c r="T52" s="49">
        <v>35.6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4"/>
        <v>52.908333333333339</v>
      </c>
      <c r="D53" s="51">
        <f t="shared" si="7"/>
        <v>634.90000000000009</v>
      </c>
      <c r="E53" s="49">
        <v>1479.89</v>
      </c>
      <c r="F53" s="49">
        <f t="shared" si="5"/>
        <v>27.970830051976687</v>
      </c>
      <c r="G53" s="52">
        <f t="shared" si="6"/>
        <v>3.5751531082265121E-2</v>
      </c>
      <c r="I53" s="49">
        <v>55</v>
      </c>
      <c r="J53" s="49">
        <v>55</v>
      </c>
      <c r="K53" s="49">
        <v>58</v>
      </c>
      <c r="L53" s="49">
        <v>58</v>
      </c>
      <c r="M53" s="49">
        <v>58</v>
      </c>
      <c r="N53" s="49">
        <v>58</v>
      </c>
      <c r="O53" s="49">
        <v>58</v>
      </c>
      <c r="P53" s="49">
        <v>58</v>
      </c>
      <c r="Q53" s="49">
        <v>58</v>
      </c>
      <c r="R53" s="49">
        <v>58</v>
      </c>
      <c r="S53" s="49">
        <v>14.7</v>
      </c>
      <c r="T53" s="49">
        <v>46.2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4"/>
        <v>47.75</v>
      </c>
      <c r="D54" s="51">
        <f t="shared" si="7"/>
        <v>573</v>
      </c>
      <c r="E54" s="49">
        <v>1479.89</v>
      </c>
      <c r="F54" s="49">
        <f t="shared" si="5"/>
        <v>30.992460732984295</v>
      </c>
      <c r="G54" s="52">
        <f t="shared" si="6"/>
        <v>3.2265911655596023E-2</v>
      </c>
      <c r="I54" s="49">
        <v>45.7</v>
      </c>
      <c r="J54" s="49">
        <v>46</v>
      </c>
      <c r="K54" s="49">
        <v>45.7</v>
      </c>
      <c r="L54" s="49">
        <v>52.3</v>
      </c>
      <c r="M54" s="49">
        <v>53</v>
      </c>
      <c r="N54" s="49">
        <v>53</v>
      </c>
      <c r="O54" s="49">
        <v>53</v>
      </c>
      <c r="P54" s="49">
        <v>53</v>
      </c>
      <c r="Q54" s="49">
        <v>53</v>
      </c>
      <c r="R54" s="49">
        <v>53</v>
      </c>
      <c r="S54" s="49">
        <v>22.2</v>
      </c>
      <c r="T54" s="49">
        <v>43.1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4"/>
        <v>42.808333333333337</v>
      </c>
      <c r="D55" s="51">
        <f t="shared" si="7"/>
        <v>513.70000000000005</v>
      </c>
      <c r="E55" s="49">
        <v>1479.89</v>
      </c>
      <c r="F55" s="49">
        <f t="shared" si="5"/>
        <v>34.570138212964764</v>
      </c>
      <c r="G55" s="52">
        <f t="shared" si="6"/>
        <v>2.8926699506945337E-2</v>
      </c>
      <c r="I55" s="49">
        <v>46</v>
      </c>
      <c r="J55" s="49">
        <v>46</v>
      </c>
      <c r="K55" s="49">
        <v>53.4</v>
      </c>
      <c r="L55" s="49">
        <v>56</v>
      </c>
      <c r="M55" s="49">
        <v>56</v>
      </c>
      <c r="N55" s="49">
        <v>56</v>
      </c>
      <c r="O55" s="49">
        <v>56</v>
      </c>
      <c r="P55" s="49">
        <v>55.8</v>
      </c>
      <c r="Q55" s="49">
        <v>56</v>
      </c>
      <c r="R55" s="49">
        <v>32.5</v>
      </c>
      <c r="S55" s="49">
        <v>0</v>
      </c>
      <c r="T55" s="49">
        <v>0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4"/>
        <v>0</v>
      </c>
      <c r="D56" s="51">
        <f t="shared" si="7"/>
        <v>0</v>
      </c>
      <c r="E56" s="49">
        <v>1479.89</v>
      </c>
      <c r="F56" s="49" t="e">
        <f t="shared" si="5"/>
        <v>#DIV/0!</v>
      </c>
      <c r="G56" s="52">
        <f t="shared" si="6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4"/>
        <v>0</v>
      </c>
      <c r="D57" s="51">
        <f t="shared" si="7"/>
        <v>0</v>
      </c>
      <c r="E57" s="49">
        <v>1479.89</v>
      </c>
      <c r="F57" s="49" t="e">
        <f t="shared" si="5"/>
        <v>#DIV/0!</v>
      </c>
      <c r="G57" s="52">
        <f t="shared" si="6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4"/>
        <v>0</v>
      </c>
      <c r="D58" s="51">
        <f t="shared" si="7"/>
        <v>0</v>
      </c>
      <c r="E58" s="49">
        <v>1479.89</v>
      </c>
      <c r="F58" s="49" t="e">
        <f t="shared" si="5"/>
        <v>#DIV/0!</v>
      </c>
      <c r="G58" s="52">
        <f t="shared" si="6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4"/>
        <v>66.5</v>
      </c>
      <c r="D59" s="51">
        <f t="shared" si="7"/>
        <v>798</v>
      </c>
      <c r="E59" s="49">
        <v>1479.89</v>
      </c>
      <c r="F59" s="49">
        <f t="shared" si="5"/>
        <v>22.253984962406015</v>
      </c>
      <c r="G59" s="52">
        <f t="shared" si="6"/>
        <v>4.4935772253343151E-2</v>
      </c>
      <c r="I59" s="49">
        <v>0</v>
      </c>
      <c r="J59" s="49">
        <v>0</v>
      </c>
      <c r="K59" s="49">
        <v>8.1</v>
      </c>
      <c r="L59" s="49">
        <v>84.8</v>
      </c>
      <c r="M59" s="49">
        <v>113.3</v>
      </c>
      <c r="N59" s="49">
        <v>114</v>
      </c>
      <c r="O59" s="49">
        <v>114.9</v>
      </c>
      <c r="P59" s="49">
        <v>114.6</v>
      </c>
      <c r="Q59" s="49">
        <v>115</v>
      </c>
      <c r="R59" s="49">
        <v>115</v>
      </c>
      <c r="S59" s="49">
        <v>18.3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4"/>
        <v>14.333333333333334</v>
      </c>
      <c r="D60" s="51">
        <f t="shared" si="7"/>
        <v>172</v>
      </c>
      <c r="E60" s="49">
        <v>1479.89</v>
      </c>
      <c r="F60" s="49">
        <f t="shared" si="5"/>
        <v>103.24813953488372</v>
      </c>
      <c r="G60" s="52">
        <f t="shared" si="6"/>
        <v>9.685404545833361E-3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172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4"/>
        <v>30.508333333333336</v>
      </c>
      <c r="D61" s="51">
        <f t="shared" si="7"/>
        <v>366.1</v>
      </c>
      <c r="E61" s="49">
        <v>1479.89</v>
      </c>
      <c r="F61" s="49">
        <f t="shared" si="5"/>
        <v>48.507730128380224</v>
      </c>
      <c r="G61" s="52">
        <f t="shared" si="6"/>
        <v>2.0615270954823219E-2</v>
      </c>
      <c r="I61" s="49">
        <v>172</v>
      </c>
      <c r="J61" s="49">
        <v>172</v>
      </c>
      <c r="K61" s="49">
        <v>22.1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4"/>
        <v>121.18333333333334</v>
      </c>
      <c r="D62" s="51">
        <f t="shared" si="7"/>
        <v>1454.2</v>
      </c>
      <c r="E62" s="49">
        <v>1479.89</v>
      </c>
      <c r="F62" s="49">
        <f t="shared" si="5"/>
        <v>12.211992848301472</v>
      </c>
      <c r="G62" s="52">
        <f t="shared" si="6"/>
        <v>8.1886716805528337E-2</v>
      </c>
      <c r="I62" s="49">
        <v>0</v>
      </c>
      <c r="J62" s="49">
        <v>0</v>
      </c>
      <c r="K62" s="49">
        <v>154.6</v>
      </c>
      <c r="L62" s="49">
        <v>179</v>
      </c>
      <c r="M62" s="49">
        <v>179</v>
      </c>
      <c r="N62" s="49">
        <v>176.5</v>
      </c>
      <c r="O62" s="49">
        <v>174</v>
      </c>
      <c r="P62" s="49">
        <v>173.9</v>
      </c>
      <c r="Q62" s="49">
        <v>173</v>
      </c>
      <c r="R62" s="49">
        <v>173</v>
      </c>
      <c r="S62" s="49">
        <v>70.2</v>
      </c>
      <c r="T62" s="49">
        <v>1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4"/>
        <v>28.916666666666668</v>
      </c>
      <c r="D63" s="51">
        <f t="shared" si="7"/>
        <v>347</v>
      </c>
      <c r="E63" s="49">
        <v>1479.89</v>
      </c>
      <c r="F63" s="49">
        <f t="shared" si="5"/>
        <v>51.177752161383289</v>
      </c>
      <c r="G63" s="52">
        <f t="shared" si="6"/>
        <v>1.9539740566303351E-2</v>
      </c>
      <c r="I63" s="49">
        <v>1</v>
      </c>
      <c r="J63" s="49">
        <v>1</v>
      </c>
      <c r="K63" s="49">
        <v>1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172</v>
      </c>
      <c r="T63" s="49">
        <v>172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4"/>
        <v>28.666666666666668</v>
      </c>
      <c r="D64" s="51">
        <f t="shared" si="7"/>
        <v>344</v>
      </c>
      <c r="E64" s="49">
        <v>1479.89</v>
      </c>
      <c r="F64" s="49">
        <f t="shared" si="5"/>
        <v>51.62406976744186</v>
      </c>
      <c r="G64" s="52">
        <f t="shared" si="6"/>
        <v>1.9370809091666722E-2</v>
      </c>
      <c r="I64" s="49">
        <v>172</v>
      </c>
      <c r="J64" s="49">
        <v>172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1978</v>
      </c>
      <c r="B65" s="50">
        <v>12</v>
      </c>
      <c r="C65" s="51">
        <f t="shared" si="4"/>
        <v>123.66666666666667</v>
      </c>
      <c r="D65" s="51">
        <f t="shared" si="7"/>
        <v>1484</v>
      </c>
      <c r="E65" s="49">
        <v>1479.89</v>
      </c>
      <c r="F65" s="49">
        <f t="shared" si="5"/>
        <v>11.966765498652292</v>
      </c>
      <c r="G65" s="52">
        <f t="shared" si="6"/>
        <v>8.3564769453585513E-2</v>
      </c>
      <c r="I65" s="49">
        <v>0</v>
      </c>
      <c r="J65" s="49">
        <v>0</v>
      </c>
      <c r="K65" s="49">
        <v>185.5</v>
      </c>
      <c r="L65" s="49">
        <v>185.5</v>
      </c>
      <c r="M65" s="49">
        <v>185.5</v>
      </c>
      <c r="N65" s="49">
        <v>185.5</v>
      </c>
      <c r="O65" s="49">
        <v>185.5</v>
      </c>
      <c r="P65" s="49">
        <v>185.5</v>
      </c>
      <c r="Q65" s="49">
        <v>185.5</v>
      </c>
      <c r="R65" s="49">
        <v>185.5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4"/>
        <v>28.666666666666668</v>
      </c>
      <c r="D66" s="51">
        <f t="shared" si="7"/>
        <v>344</v>
      </c>
      <c r="E66" s="49">
        <v>1479.89</v>
      </c>
      <c r="F66" s="49">
        <f t="shared" si="5"/>
        <v>51.62406976744186</v>
      </c>
      <c r="G66" s="52">
        <f t="shared" si="6"/>
        <v>1.9370809091666722E-2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172</v>
      </c>
      <c r="T66" s="49">
        <v>172</v>
      </c>
    </row>
    <row r="67" spans="1:22" s="53" customFormat="1" ht="15.75" customHeight="1" x14ac:dyDescent="0.25">
      <c r="A67" s="50">
        <v>1980</v>
      </c>
      <c r="B67" s="50">
        <v>12</v>
      </c>
      <c r="C67" s="51">
        <f t="shared" si="4"/>
        <v>28.666666666666668</v>
      </c>
      <c r="D67" s="51">
        <f t="shared" si="7"/>
        <v>344</v>
      </c>
      <c r="E67" s="49">
        <v>1479.89</v>
      </c>
      <c r="F67" s="49">
        <f t="shared" si="5"/>
        <v>51.62406976744186</v>
      </c>
      <c r="G67" s="52">
        <f t="shared" si="6"/>
        <v>1.9370809091666722E-2</v>
      </c>
      <c r="I67" s="49">
        <v>172</v>
      </c>
      <c r="J67" s="49">
        <v>172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si="4"/>
        <v>123.66666666666667</v>
      </c>
      <c r="D68" s="51">
        <f t="shared" si="7"/>
        <v>1484</v>
      </c>
      <c r="E68" s="49">
        <v>1479.89</v>
      </c>
      <c r="F68" s="49">
        <f t="shared" si="5"/>
        <v>11.966765498652292</v>
      </c>
      <c r="G68" s="52">
        <f t="shared" si="6"/>
        <v>8.3564769453585513E-2</v>
      </c>
      <c r="I68" s="49">
        <v>0</v>
      </c>
      <c r="J68" s="49">
        <v>0</v>
      </c>
      <c r="K68" s="49">
        <v>185.5</v>
      </c>
      <c r="L68" s="49">
        <v>185.5</v>
      </c>
      <c r="M68" s="49">
        <v>185.5</v>
      </c>
      <c r="N68" s="49">
        <v>185.5</v>
      </c>
      <c r="O68" s="49">
        <v>185.5</v>
      </c>
      <c r="P68" s="49">
        <v>185.5</v>
      </c>
      <c r="Q68" s="49">
        <v>185.5</v>
      </c>
      <c r="R68" s="49">
        <v>185.5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31.833333333333332</v>
      </c>
      <c r="D69" s="51">
        <f t="shared" si="7"/>
        <v>382</v>
      </c>
      <c r="E69" s="49">
        <v>1479.89</v>
      </c>
      <c r="F69" s="49">
        <f t="shared" si="5"/>
        <v>46.488691099476448</v>
      </c>
      <c r="G69" s="52">
        <f t="shared" si="6"/>
        <v>2.1510607770397348E-2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191</v>
      </c>
      <c r="T69" s="49">
        <v>191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31.833333333333332</v>
      </c>
      <c r="D70" s="51">
        <f t="shared" si="7"/>
        <v>382</v>
      </c>
      <c r="E70" s="49">
        <v>1479.89</v>
      </c>
      <c r="F70" s="49">
        <f t="shared" si="5"/>
        <v>46.488691099476448</v>
      </c>
      <c r="G70" s="52">
        <f t="shared" si="6"/>
        <v>2.1510607770397348E-2</v>
      </c>
      <c r="I70" s="49">
        <v>191</v>
      </c>
      <c r="J70" s="49">
        <v>191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129</v>
      </c>
      <c r="D71" s="51">
        <f t="shared" si="7"/>
        <v>1548</v>
      </c>
      <c r="E71" s="49">
        <v>1479.89</v>
      </c>
      <c r="F71" s="49">
        <f t="shared" si="5"/>
        <v>11.472015503875969</v>
      </c>
      <c r="G71" s="52">
        <f t="shared" si="6"/>
        <v>8.7168640912500248E-2</v>
      </c>
      <c r="I71" s="49">
        <v>0</v>
      </c>
      <c r="J71" s="49">
        <v>0</v>
      </c>
      <c r="K71" s="49">
        <v>193.5</v>
      </c>
      <c r="L71" s="49">
        <v>193.5</v>
      </c>
      <c r="M71" s="49">
        <v>193.5</v>
      </c>
      <c r="N71" s="49">
        <v>193.5</v>
      </c>
      <c r="O71" s="49">
        <v>193.5</v>
      </c>
      <c r="P71" s="49">
        <v>193.5</v>
      </c>
      <c r="Q71" s="49">
        <v>193.5</v>
      </c>
      <c r="R71" s="49">
        <v>193.5</v>
      </c>
      <c r="S71" s="49">
        <v>0</v>
      </c>
      <c r="T71" s="49">
        <v>0</v>
      </c>
    </row>
    <row r="72" spans="1:22" s="53" customFormat="1" ht="15.75" customHeight="1" x14ac:dyDescent="0.3">
      <c r="A72" s="50">
        <v>1985</v>
      </c>
      <c r="B72" s="50">
        <v>12</v>
      </c>
      <c r="C72" s="51">
        <f t="shared" si="4"/>
        <v>76.166666666666671</v>
      </c>
      <c r="D72" s="51">
        <f t="shared" si="7"/>
        <v>914</v>
      </c>
      <c r="E72" s="49">
        <v>1479.89</v>
      </c>
      <c r="F72" s="49">
        <f t="shared" si="5"/>
        <v>19.429628008752736</v>
      </c>
      <c r="G72" s="52">
        <f t="shared" si="6"/>
        <v>5.1467789272626116E-2</v>
      </c>
      <c r="I72" s="49">
        <v>0</v>
      </c>
      <c r="J72" s="49">
        <v>0</v>
      </c>
      <c r="K72" s="49">
        <v>93</v>
      </c>
      <c r="L72" s="49">
        <v>93</v>
      </c>
      <c r="M72" s="49">
        <v>93</v>
      </c>
      <c r="N72" s="49">
        <v>93</v>
      </c>
      <c r="O72" s="49">
        <v>93</v>
      </c>
      <c r="P72" s="49">
        <v>93</v>
      </c>
      <c r="Q72" s="49">
        <v>93</v>
      </c>
      <c r="R72" s="49">
        <v>93</v>
      </c>
      <c r="S72" s="49">
        <v>85</v>
      </c>
      <c r="T72" s="49">
        <v>85</v>
      </c>
      <c r="V72" s="90"/>
    </row>
    <row r="73" spans="1:22" s="53" customFormat="1" ht="15.75" customHeight="1" x14ac:dyDescent="0.25">
      <c r="A73" s="50">
        <v>1986</v>
      </c>
      <c r="B73" s="50">
        <v>12</v>
      </c>
      <c r="C73" s="51">
        <f t="shared" si="4"/>
        <v>14.166666666666666</v>
      </c>
      <c r="D73" s="51">
        <f t="shared" si="7"/>
        <v>170</v>
      </c>
      <c r="E73" s="49">
        <v>679</v>
      </c>
      <c r="F73" s="49">
        <f t="shared" si="5"/>
        <v>47.929411764705883</v>
      </c>
      <c r="G73" s="52">
        <f t="shared" si="6"/>
        <v>2.0864015709376533E-2</v>
      </c>
      <c r="I73" s="49">
        <v>85</v>
      </c>
      <c r="J73" s="49">
        <v>85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V73" s="48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75.833333333333329</v>
      </c>
      <c r="D74" s="51">
        <f t="shared" si="7"/>
        <v>910</v>
      </c>
      <c r="E74" s="49">
        <v>679</v>
      </c>
      <c r="F74" s="49">
        <f t="shared" si="5"/>
        <v>8.953846153846154</v>
      </c>
      <c r="G74" s="52">
        <f t="shared" si="6"/>
        <v>0.11168384879725085</v>
      </c>
      <c r="I74" s="49">
        <v>0</v>
      </c>
      <c r="J74" s="49">
        <v>0</v>
      </c>
      <c r="K74" s="49">
        <v>91</v>
      </c>
      <c r="L74" s="49">
        <v>91</v>
      </c>
      <c r="M74" s="49">
        <v>91</v>
      </c>
      <c r="N74" s="49">
        <v>91</v>
      </c>
      <c r="O74" s="49">
        <v>91</v>
      </c>
      <c r="P74" s="49">
        <v>91</v>
      </c>
      <c r="Q74" s="49">
        <v>91</v>
      </c>
      <c r="R74" s="49">
        <v>91</v>
      </c>
      <c r="S74" s="49">
        <v>91</v>
      </c>
      <c r="T74" s="49">
        <v>91</v>
      </c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29.333333333333332</v>
      </c>
      <c r="D75" s="51">
        <f t="shared" si="7"/>
        <v>352</v>
      </c>
      <c r="E75" s="49">
        <v>679</v>
      </c>
      <c r="F75" s="49">
        <f t="shared" si="5"/>
        <v>23.147727272727273</v>
      </c>
      <c r="G75" s="52">
        <f t="shared" si="6"/>
        <v>4.3200785468826705E-2</v>
      </c>
      <c r="I75" s="49">
        <v>91</v>
      </c>
      <c r="J75" s="49">
        <v>91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85</v>
      </c>
      <c r="T75" s="49">
        <v>85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14.166666666666666</v>
      </c>
      <c r="D76" s="51">
        <f t="shared" si="7"/>
        <v>170</v>
      </c>
      <c r="E76" s="49">
        <v>679</v>
      </c>
      <c r="F76" s="49">
        <f t="shared" si="5"/>
        <v>47.929411764705883</v>
      </c>
      <c r="G76" s="52">
        <f t="shared" si="6"/>
        <v>2.0864015709376533E-2</v>
      </c>
      <c r="I76" s="49">
        <v>85</v>
      </c>
      <c r="J76" s="49">
        <v>85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54</v>
      </c>
      <c r="D77" s="51">
        <f t="shared" si="7"/>
        <v>648</v>
      </c>
      <c r="E77" s="49">
        <v>679</v>
      </c>
      <c r="F77" s="49">
        <f t="shared" si="5"/>
        <v>12.574074074074074</v>
      </c>
      <c r="G77" s="52">
        <f t="shared" si="6"/>
        <v>7.9528718703976431E-2</v>
      </c>
      <c r="I77" s="49">
        <v>0</v>
      </c>
      <c r="J77" s="49">
        <v>0</v>
      </c>
      <c r="K77" s="49">
        <v>81</v>
      </c>
      <c r="L77" s="49">
        <v>81</v>
      </c>
      <c r="M77" s="49">
        <v>81</v>
      </c>
      <c r="N77" s="49">
        <v>81</v>
      </c>
      <c r="O77" s="49">
        <v>81</v>
      </c>
      <c r="P77" s="49">
        <v>81</v>
      </c>
      <c r="Q77" s="49">
        <v>81</v>
      </c>
      <c r="R77" s="49">
        <v>81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13.333333333333334</v>
      </c>
      <c r="D78" s="51">
        <f t="shared" si="7"/>
        <v>160</v>
      </c>
      <c r="E78" s="49">
        <v>679</v>
      </c>
      <c r="F78" s="49">
        <f t="shared" si="5"/>
        <v>50.924999999999997</v>
      </c>
      <c r="G78" s="52">
        <f t="shared" si="6"/>
        <v>1.9636720667648502E-2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80</v>
      </c>
      <c r="T78" s="49">
        <v>80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13.333333333333334</v>
      </c>
      <c r="D79" s="51">
        <f t="shared" si="7"/>
        <v>160</v>
      </c>
      <c r="E79" s="49">
        <v>679</v>
      </c>
      <c r="F79" s="49">
        <f t="shared" si="5"/>
        <v>50.924999999999997</v>
      </c>
      <c r="G79" s="52">
        <f t="shared" si="6"/>
        <v>1.9636720667648502E-2</v>
      </c>
      <c r="I79" s="49">
        <v>80</v>
      </c>
      <c r="J79" s="49">
        <v>80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62.666666666666664</v>
      </c>
      <c r="D80" s="51">
        <f t="shared" si="7"/>
        <v>752</v>
      </c>
      <c r="E80" s="49">
        <v>679</v>
      </c>
      <c r="F80" s="49">
        <f t="shared" si="5"/>
        <v>10.835106382978724</v>
      </c>
      <c r="G80" s="52">
        <f t="shared" si="6"/>
        <v>9.2292587137947954E-2</v>
      </c>
      <c r="I80" s="49">
        <v>0</v>
      </c>
      <c r="J80" s="49">
        <v>0</v>
      </c>
      <c r="K80" s="49">
        <v>94</v>
      </c>
      <c r="L80" s="49">
        <v>94</v>
      </c>
      <c r="M80" s="49">
        <v>94</v>
      </c>
      <c r="N80" s="49">
        <v>94</v>
      </c>
      <c r="O80" s="49">
        <v>94</v>
      </c>
      <c r="P80" s="49">
        <v>94</v>
      </c>
      <c r="Q80" s="49">
        <v>94</v>
      </c>
      <c r="R80" s="49">
        <v>94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14.166666666666666</v>
      </c>
      <c r="D81" s="51">
        <f t="shared" si="7"/>
        <v>170</v>
      </c>
      <c r="E81" s="49">
        <v>679</v>
      </c>
      <c r="F81" s="49">
        <f t="shared" si="5"/>
        <v>47.929411764705883</v>
      </c>
      <c r="G81" s="52">
        <f t="shared" si="6"/>
        <v>2.0864015709376533E-2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85</v>
      </c>
      <c r="T81" s="49">
        <v>85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14.166666666666666</v>
      </c>
      <c r="D82" s="51">
        <f t="shared" si="7"/>
        <v>170</v>
      </c>
      <c r="E82" s="49">
        <v>679</v>
      </c>
      <c r="F82" s="49">
        <f t="shared" si="5"/>
        <v>47.929411764705883</v>
      </c>
      <c r="G82" s="52">
        <f t="shared" si="6"/>
        <v>2.0864015709376533E-2</v>
      </c>
      <c r="I82" s="49">
        <v>85</v>
      </c>
      <c r="J82" s="49">
        <v>85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61.666666666666664</v>
      </c>
      <c r="D83" s="51">
        <f t="shared" si="7"/>
        <v>740</v>
      </c>
      <c r="E83" s="49">
        <v>679</v>
      </c>
      <c r="F83" s="49">
        <f t="shared" si="5"/>
        <v>11.010810810810812</v>
      </c>
      <c r="G83" s="52">
        <f t="shared" si="6"/>
        <v>9.0819833087874322E-2</v>
      </c>
      <c r="I83" s="49">
        <v>0</v>
      </c>
      <c r="J83" s="49">
        <v>0</v>
      </c>
      <c r="K83" s="49">
        <v>92.5</v>
      </c>
      <c r="L83" s="49">
        <v>92.5</v>
      </c>
      <c r="M83" s="49">
        <v>92.5</v>
      </c>
      <c r="N83" s="49">
        <v>92.5</v>
      </c>
      <c r="O83" s="49">
        <v>92.5</v>
      </c>
      <c r="P83" s="49">
        <v>92.5</v>
      </c>
      <c r="Q83" s="49">
        <v>92.5</v>
      </c>
      <c r="R83" s="49">
        <v>92.5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15.666666666666666</v>
      </c>
      <c r="D84" s="51">
        <f t="shared" si="7"/>
        <v>188</v>
      </c>
      <c r="E84" s="49">
        <v>679</v>
      </c>
      <c r="F84" s="49">
        <f t="shared" si="5"/>
        <v>43.340425531914896</v>
      </c>
      <c r="G84" s="52">
        <f t="shared" si="6"/>
        <v>2.3073146784486988E-2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94</v>
      </c>
      <c r="T84" s="49">
        <v>94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15.666666666666666</v>
      </c>
      <c r="D85" s="51">
        <f t="shared" si="7"/>
        <v>188</v>
      </c>
      <c r="E85" s="49">
        <v>679</v>
      </c>
      <c r="F85" s="49">
        <f t="shared" si="5"/>
        <v>43.340425531914896</v>
      </c>
      <c r="G85" s="52">
        <f t="shared" si="6"/>
        <v>2.3073146784486988E-2</v>
      </c>
      <c r="I85" s="49">
        <v>94</v>
      </c>
      <c r="J85" s="49">
        <v>94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59.666666666666664</v>
      </c>
      <c r="D86" s="51">
        <f t="shared" si="7"/>
        <v>716</v>
      </c>
      <c r="E86" s="49">
        <v>679</v>
      </c>
      <c r="F86" s="49">
        <f t="shared" si="5"/>
        <v>11.379888268156424</v>
      </c>
      <c r="G86" s="52">
        <f t="shared" si="6"/>
        <v>8.7874324987727043E-2</v>
      </c>
      <c r="I86" s="49">
        <v>0</v>
      </c>
      <c r="J86" s="49">
        <v>0</v>
      </c>
      <c r="K86" s="49">
        <v>91</v>
      </c>
      <c r="L86" s="49">
        <v>91</v>
      </c>
      <c r="M86" s="49">
        <v>91</v>
      </c>
      <c r="N86" s="49">
        <v>91</v>
      </c>
      <c r="O86" s="49">
        <v>91</v>
      </c>
      <c r="P86" s="49">
        <v>91</v>
      </c>
      <c r="Q86" s="49">
        <v>85</v>
      </c>
      <c r="R86" s="49">
        <v>85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14.166666666666666</v>
      </c>
      <c r="D87" s="51">
        <f t="shared" si="7"/>
        <v>170</v>
      </c>
      <c r="E87" s="49">
        <v>679</v>
      </c>
      <c r="F87" s="49">
        <f t="shared" si="5"/>
        <v>47.929411764705883</v>
      </c>
      <c r="G87" s="52">
        <f t="shared" si="6"/>
        <v>2.0864015709376533E-2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85</v>
      </c>
      <c r="T87" s="49">
        <v>85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ref="C88:C97" si="8">D88/B88</f>
        <v>14.166666666666666</v>
      </c>
      <c r="D88" s="51">
        <f t="shared" si="7"/>
        <v>170</v>
      </c>
      <c r="E88" s="49">
        <v>679</v>
      </c>
      <c r="F88" s="49">
        <f t="shared" ref="F88:F97" si="9">E88/C88</f>
        <v>47.929411764705883</v>
      </c>
      <c r="G88" s="52">
        <f t="shared" ref="G88:G97" si="10">C88/E88</f>
        <v>2.0864015709376533E-2</v>
      </c>
      <c r="I88" s="49">
        <v>85</v>
      </c>
      <c r="J88" s="49">
        <v>85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60.666666666666664</v>
      </c>
      <c r="D89" s="51">
        <f t="shared" ref="D89:D97" si="11">SUM(I89:T89)</f>
        <v>728</v>
      </c>
      <c r="E89" s="49">
        <v>679</v>
      </c>
      <c r="F89" s="49">
        <f t="shared" si="9"/>
        <v>11.192307692307693</v>
      </c>
      <c r="G89" s="52">
        <f t="shared" si="10"/>
        <v>8.9347079037800689E-2</v>
      </c>
      <c r="I89" s="49">
        <v>0</v>
      </c>
      <c r="J89" s="49">
        <v>0</v>
      </c>
      <c r="K89" s="49">
        <v>91</v>
      </c>
      <c r="L89" s="49">
        <v>91</v>
      </c>
      <c r="M89" s="49">
        <v>91</v>
      </c>
      <c r="N89" s="49">
        <v>91</v>
      </c>
      <c r="O89" s="49">
        <v>91</v>
      </c>
      <c r="P89" s="49">
        <v>91</v>
      </c>
      <c r="Q89" s="49">
        <v>91</v>
      </c>
      <c r="R89" s="49">
        <v>91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14.166666666666666</v>
      </c>
      <c r="D90" s="51">
        <f t="shared" si="11"/>
        <v>170</v>
      </c>
      <c r="E90" s="49">
        <v>679</v>
      </c>
      <c r="F90" s="49">
        <f t="shared" si="9"/>
        <v>47.929411764705883</v>
      </c>
      <c r="G90" s="52">
        <f t="shared" si="10"/>
        <v>2.0864015709376533E-2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85</v>
      </c>
      <c r="T90" s="49">
        <v>85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14.166666666666666</v>
      </c>
      <c r="D91" s="51">
        <f t="shared" si="11"/>
        <v>170</v>
      </c>
      <c r="E91" s="49">
        <v>679</v>
      </c>
      <c r="F91" s="49">
        <f t="shared" si="9"/>
        <v>47.929411764705883</v>
      </c>
      <c r="G91" s="52">
        <f t="shared" si="10"/>
        <v>2.0864015709376533E-2</v>
      </c>
      <c r="I91" s="49">
        <v>85</v>
      </c>
      <c r="J91" s="49">
        <v>85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60.666666666666664</v>
      </c>
      <c r="D92" s="51">
        <f t="shared" si="11"/>
        <v>728</v>
      </c>
      <c r="E92" s="49">
        <v>679</v>
      </c>
      <c r="F92" s="49">
        <f t="shared" si="9"/>
        <v>11.192307692307693</v>
      </c>
      <c r="G92" s="52">
        <f t="shared" si="10"/>
        <v>8.9347079037800689E-2</v>
      </c>
      <c r="I92" s="49">
        <v>0</v>
      </c>
      <c r="J92" s="49">
        <v>0</v>
      </c>
      <c r="K92" s="49">
        <v>91</v>
      </c>
      <c r="L92" s="49">
        <v>91</v>
      </c>
      <c r="M92" s="49">
        <v>91</v>
      </c>
      <c r="N92" s="49">
        <v>91</v>
      </c>
      <c r="O92" s="49">
        <v>91</v>
      </c>
      <c r="P92" s="49">
        <v>91</v>
      </c>
      <c r="Q92" s="49">
        <v>91</v>
      </c>
      <c r="R92" s="49">
        <v>91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6.1916666666666664</v>
      </c>
      <c r="D93" s="51">
        <f t="shared" si="11"/>
        <v>74.3</v>
      </c>
      <c r="E93" s="49">
        <v>679</v>
      </c>
      <c r="F93" s="49">
        <f t="shared" si="9"/>
        <v>109.66352624495289</v>
      </c>
      <c r="G93" s="52">
        <f t="shared" si="10"/>
        <v>9.1188021600392723E-3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74.3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39.741666666666667</v>
      </c>
      <c r="D94" s="51">
        <f t="shared" si="11"/>
        <v>476.90000000000003</v>
      </c>
      <c r="E94" s="49">
        <v>679</v>
      </c>
      <c r="F94" s="49">
        <f t="shared" si="9"/>
        <v>17.085342839169638</v>
      </c>
      <c r="G94" s="52">
        <f t="shared" si="10"/>
        <v>5.8529700540009819E-2</v>
      </c>
      <c r="I94" s="49">
        <v>192.9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167.3</v>
      </c>
      <c r="R94" s="49">
        <v>116.7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13.174999999999999</v>
      </c>
      <c r="D95" s="51">
        <f t="shared" si="11"/>
        <v>158.1</v>
      </c>
      <c r="E95" s="49">
        <v>679</v>
      </c>
      <c r="F95" s="49">
        <f t="shared" si="9"/>
        <v>51.537001897533209</v>
      </c>
      <c r="G95" s="52">
        <f t="shared" si="10"/>
        <v>1.9403534609720174E-2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158.1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13.308333333333332</v>
      </c>
      <c r="D96" s="51">
        <f t="shared" si="11"/>
        <v>159.69999999999999</v>
      </c>
      <c r="E96" s="49">
        <v>679</v>
      </c>
      <c r="F96" s="49">
        <f t="shared" si="9"/>
        <v>51.020663744520981</v>
      </c>
      <c r="G96" s="52">
        <f t="shared" si="10"/>
        <v>1.9599901816396658E-2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145.19999999999999</v>
      </c>
      <c r="P96" s="49">
        <v>14.5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13.950000000000001</v>
      </c>
      <c r="D97" s="51">
        <f t="shared" si="11"/>
        <v>167.4</v>
      </c>
      <c r="E97" s="49">
        <v>679</v>
      </c>
      <c r="F97" s="49">
        <f t="shared" si="9"/>
        <v>48.673835125448022</v>
      </c>
      <c r="G97" s="52">
        <f t="shared" si="10"/>
        <v>2.0544918998527246E-2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111.5</v>
      </c>
      <c r="Q97" s="49">
        <v>55.9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19.108333333333334</v>
      </c>
      <c r="D98" s="51">
        <f t="shared" ref="D98:D107" si="13">SUM(I98:T98)</f>
        <v>229.3</v>
      </c>
      <c r="E98" s="49">
        <v>679</v>
      </c>
      <c r="F98" s="49">
        <f t="shared" ref="F98:F107" si="14">E98/C98</f>
        <v>35.534234627126033</v>
      </c>
      <c r="G98" s="52">
        <f t="shared" ref="G98:G107" si="15">C98/E98</f>
        <v>2.8141875306823761E-2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214.4</v>
      </c>
      <c r="O98" s="49">
        <v>13</v>
      </c>
      <c r="P98" s="49">
        <v>1.9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18.599999999999998</v>
      </c>
      <c r="D99" s="51">
        <f t="shared" si="13"/>
        <v>223.2</v>
      </c>
      <c r="E99" s="49">
        <v>679</v>
      </c>
      <c r="F99" s="49">
        <f t="shared" si="14"/>
        <v>36.505376344086024</v>
      </c>
      <c r="G99" s="52">
        <f t="shared" si="15"/>
        <v>2.7393225331369658E-2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215.4</v>
      </c>
      <c r="Q99" s="49">
        <v>7.6</v>
      </c>
      <c r="R99" s="49">
        <v>0.2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12.666666666666666</v>
      </c>
      <c r="D100" s="51">
        <f t="shared" si="13"/>
        <v>152</v>
      </c>
      <c r="E100" s="49">
        <v>679</v>
      </c>
      <c r="F100" s="49">
        <f t="shared" si="14"/>
        <v>53.60526315789474</v>
      </c>
      <c r="G100" s="52">
        <f t="shared" si="15"/>
        <v>1.8654884634266077E-2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95.2</v>
      </c>
      <c r="Q100" s="49">
        <v>56.8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14.683333333333332</v>
      </c>
      <c r="D101" s="51">
        <f t="shared" si="13"/>
        <v>176.2</v>
      </c>
      <c r="E101" s="49">
        <v>679</v>
      </c>
      <c r="F101" s="49">
        <f t="shared" si="14"/>
        <v>46.242905788876278</v>
      </c>
      <c r="G101" s="52">
        <f t="shared" si="15"/>
        <v>2.162493863524791E-2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176.2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16.324999999999999</v>
      </c>
      <c r="D102" s="51">
        <f t="shared" si="13"/>
        <v>195.9</v>
      </c>
      <c r="E102" s="49">
        <v>679</v>
      </c>
      <c r="F102" s="49">
        <f t="shared" si="14"/>
        <v>41.592649310872893</v>
      </c>
      <c r="G102" s="52">
        <f t="shared" si="15"/>
        <v>2.4042709867452133E-2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180.3</v>
      </c>
      <c r="Q102" s="49">
        <v>15.6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15.808333333333332</v>
      </c>
      <c r="D103" s="51">
        <f t="shared" si="13"/>
        <v>189.7</v>
      </c>
      <c r="E103" s="49">
        <v>679</v>
      </c>
      <c r="F103" s="49">
        <f t="shared" si="14"/>
        <v>42.952029520295206</v>
      </c>
      <c r="G103" s="52">
        <f t="shared" si="15"/>
        <v>2.3281786941580753E-2</v>
      </c>
      <c r="I103" s="49">
        <v>0</v>
      </c>
      <c r="J103" s="49">
        <v>189.7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18.599999999999998</v>
      </c>
      <c r="D104" s="51">
        <f t="shared" si="13"/>
        <v>223.2</v>
      </c>
      <c r="E104" s="49">
        <v>679</v>
      </c>
      <c r="F104" s="49">
        <f t="shared" si="14"/>
        <v>36.505376344086024</v>
      </c>
      <c r="G104" s="52">
        <f t="shared" si="15"/>
        <v>2.7393225331369658E-2</v>
      </c>
      <c r="I104" s="49">
        <v>0</v>
      </c>
      <c r="J104" s="49">
        <v>0</v>
      </c>
      <c r="K104" s="49">
        <v>0</v>
      </c>
      <c r="L104" s="49">
        <v>223.2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16.216666666666665</v>
      </c>
      <c r="D105" s="51">
        <f t="shared" si="13"/>
        <v>194.6</v>
      </c>
      <c r="E105" s="49">
        <v>679</v>
      </c>
      <c r="F105" s="49">
        <f t="shared" si="14"/>
        <v>41.870503597122308</v>
      </c>
      <c r="G105" s="52">
        <f t="shared" si="15"/>
        <v>2.388316151202749E-2</v>
      </c>
      <c r="I105" s="49">
        <v>0</v>
      </c>
      <c r="J105" s="49">
        <v>0</v>
      </c>
      <c r="K105" s="49">
        <v>0</v>
      </c>
      <c r="L105" s="49">
        <v>44.9</v>
      </c>
      <c r="M105" s="49">
        <v>149.69999999999999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17.233333333333334</v>
      </c>
      <c r="D106" s="51">
        <f t="shared" si="13"/>
        <v>206.8</v>
      </c>
      <c r="E106" s="49">
        <v>679</v>
      </c>
      <c r="F106" s="49">
        <f t="shared" si="14"/>
        <v>39.400386847195357</v>
      </c>
      <c r="G106" s="52">
        <f t="shared" si="15"/>
        <v>2.538046146293569E-2</v>
      </c>
      <c r="I106" s="49">
        <v>0</v>
      </c>
      <c r="J106" s="49">
        <v>0</v>
      </c>
      <c r="K106" s="49">
        <v>0</v>
      </c>
      <c r="L106" s="49">
        <v>0</v>
      </c>
      <c r="M106" s="49">
        <v>206.8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19.45</v>
      </c>
      <c r="D107" s="51">
        <f t="shared" si="13"/>
        <v>233.4</v>
      </c>
      <c r="E107" s="49">
        <v>679</v>
      </c>
      <c r="F107" s="49">
        <f t="shared" si="14"/>
        <v>34.910025706940878</v>
      </c>
      <c r="G107" s="52">
        <f t="shared" si="15"/>
        <v>2.8645066273932252E-2</v>
      </c>
      <c r="I107" s="49">
        <v>0</v>
      </c>
      <c r="J107" s="49">
        <v>0</v>
      </c>
      <c r="K107" s="49">
        <v>0</v>
      </c>
      <c r="L107" s="49">
        <v>0</v>
      </c>
      <c r="M107" s="49">
        <v>233.4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17.224999999999998</v>
      </c>
      <c r="D108" s="51">
        <f t="shared" ref="D108" si="17">SUM(I108:T108)</f>
        <v>206.7</v>
      </c>
      <c r="E108" s="49">
        <v>679</v>
      </c>
      <c r="F108" s="49">
        <f t="shared" ref="F108" si="18">E108/C108</f>
        <v>39.419448476052253</v>
      </c>
      <c r="G108" s="52">
        <f t="shared" ref="G108" si="19">C108/E108</f>
        <v>2.5368188512518406E-2</v>
      </c>
      <c r="I108" s="54">
        <v>0</v>
      </c>
      <c r="J108" s="54">
        <v>0</v>
      </c>
      <c r="K108" s="54">
        <v>0</v>
      </c>
      <c r="L108" s="54">
        <v>29</v>
      </c>
      <c r="M108" s="54">
        <v>177.7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>D109/B109</f>
        <v>26.75</v>
      </c>
      <c r="D109" s="51">
        <f t="shared" ref="D109" si="20">SUM(I109:T109)</f>
        <v>321</v>
      </c>
      <c r="E109" s="49">
        <v>679</v>
      </c>
      <c r="F109" s="49">
        <f t="shared" ref="F109" si="21">E109/C109</f>
        <v>25.383177570093459</v>
      </c>
      <c r="G109" s="52">
        <f t="shared" ref="G109" si="22">C109/E109</f>
        <v>3.9396170839469807E-2</v>
      </c>
      <c r="I109" s="54">
        <v>31.5</v>
      </c>
      <c r="J109" s="54">
        <v>197.7</v>
      </c>
      <c r="K109" s="54">
        <v>51.8</v>
      </c>
      <c r="L109" s="54">
        <v>40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>D110/B110</f>
        <v>32.408333333333331</v>
      </c>
      <c r="D110" s="51">
        <f t="shared" ref="D110" si="23">SUM(I110:T110)</f>
        <v>388.9</v>
      </c>
      <c r="E110" s="49">
        <v>679</v>
      </c>
      <c r="F110" s="49">
        <f t="shared" ref="F110" si="24">E110/C110</f>
        <v>20.951401388531757</v>
      </c>
      <c r="G110" s="52">
        <f t="shared" ref="G110" si="25">C110/E110</f>
        <v>4.7729504172803139E-2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258.7</v>
      </c>
      <c r="O110" s="54">
        <v>130.19999999999999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>D111/B111</f>
        <v>18.155152329749104</v>
      </c>
      <c r="D111" s="51">
        <f t="shared" ref="D111" si="26">SUM(I111:T111)</f>
        <v>217.86182795698926</v>
      </c>
      <c r="E111" s="49">
        <v>679</v>
      </c>
      <c r="F111" s="49">
        <f t="shared" ref="F111" si="27">E111/C111</f>
        <v>37.399851439824495</v>
      </c>
      <c r="G111" s="52">
        <f t="shared" ref="G111" si="28">C111/E111</f>
        <v>2.673807412334183E-2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17">
        <v>0</v>
      </c>
      <c r="Q111" s="17">
        <v>36.083333333333336</v>
      </c>
      <c r="R111" s="17">
        <v>179.64516129032259</v>
      </c>
      <c r="S111" s="17">
        <v>2.1333333333333333</v>
      </c>
      <c r="T111" s="17">
        <v>0</v>
      </c>
    </row>
    <row r="112" spans="1:20" ht="15.75" customHeight="1" x14ac:dyDescent="0.25">
      <c r="A112" s="16">
        <v>2025</v>
      </c>
      <c r="B112" s="9">
        <v>12</v>
      </c>
      <c r="C112" s="51">
        <f>D112/B112</f>
        <v>0</v>
      </c>
      <c r="D112" s="51">
        <f t="shared" ref="D112" si="29">SUM(I112:T112)</f>
        <v>0</v>
      </c>
      <c r="E112" s="49">
        <v>679</v>
      </c>
      <c r="F112" s="49" t="e">
        <f t="shared" ref="F112" si="30">E112/C112</f>
        <v>#DIV/0!</v>
      </c>
      <c r="G112" s="52">
        <f t="shared" ref="G112" si="31">C112/E112</f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6640625" style="56" customWidth="1"/>
    <col min="11" max="16" width="9.33203125" style="56" bestFit="1" customWidth="1"/>
    <col min="17" max="17" width="12.109375" style="56" customWidth="1"/>
    <col min="18" max="18" width="10.6640625" style="56" customWidth="1"/>
    <col min="19" max="19" width="11.109375" style="56" customWidth="1"/>
    <col min="20" max="20" width="12" style="56" customWidth="1"/>
    <col min="21" max="16384" width="9.109375" style="40"/>
  </cols>
  <sheetData>
    <row r="1" spans="1:20" ht="15" x14ac:dyDescent="0.25">
      <c r="A1" s="120" t="s">
        <v>35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62">
        <v>1936</v>
      </c>
      <c r="B23" s="50">
        <v>12</v>
      </c>
      <c r="C23" s="51">
        <f>D23/B23</f>
        <v>247.39166666666668</v>
      </c>
      <c r="D23" s="51">
        <f>SUM(I23:T23)</f>
        <v>2968.7000000000003</v>
      </c>
      <c r="E23" s="49">
        <v>3108.65</v>
      </c>
      <c r="F23" s="49">
        <f>E23/C23</f>
        <v>12.565702159194259</v>
      </c>
      <c r="G23" s="52">
        <f>C23/E23</f>
        <v>7.9581704812914503E-2</v>
      </c>
      <c r="H23" s="91"/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25</v>
      </c>
      <c r="V23" s="48"/>
    </row>
    <row r="24" spans="1:22" s="53" customFormat="1" ht="15.75" customHeight="1" x14ac:dyDescent="0.25">
      <c r="A24" s="62">
        <v>1937</v>
      </c>
      <c r="B24" s="50">
        <v>12</v>
      </c>
      <c r="C24" s="51">
        <f t="shared" ref="C24:C86" si="4">D24/B24</f>
        <v>6.5</v>
      </c>
      <c r="D24" s="51">
        <f t="shared" ref="D24:D86" si="5">SUM(I24:T24)</f>
        <v>78</v>
      </c>
      <c r="E24" s="49">
        <v>172.899</v>
      </c>
      <c r="F24" s="49">
        <f t="shared" ref="F24:F86" si="6">E24/C24</f>
        <v>26.599846153846155</v>
      </c>
      <c r="G24" s="52">
        <f t="shared" ref="G24:G86" si="7">C24/E24</f>
        <v>3.7594202395618254E-2</v>
      </c>
      <c r="I24" s="49">
        <v>25</v>
      </c>
      <c r="J24" s="49">
        <v>25</v>
      </c>
      <c r="K24" s="49">
        <v>25</v>
      </c>
      <c r="L24" s="49">
        <v>1</v>
      </c>
      <c r="M24" s="49">
        <v>1</v>
      </c>
      <c r="N24" s="49">
        <v>1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</row>
    <row r="25" spans="1:22" s="53" customFormat="1" ht="15.75" customHeight="1" x14ac:dyDescent="0.25">
      <c r="A25" s="62">
        <v>1938</v>
      </c>
      <c r="B25" s="50">
        <v>12</v>
      </c>
      <c r="C25" s="51">
        <f t="shared" si="4"/>
        <v>3.5749999999999997</v>
      </c>
      <c r="D25" s="51">
        <f t="shared" si="5"/>
        <v>42.9</v>
      </c>
      <c r="E25" s="49">
        <v>172.899</v>
      </c>
      <c r="F25" s="49">
        <f t="shared" si="6"/>
        <v>48.363356643356646</v>
      </c>
      <c r="G25" s="52">
        <f t="shared" si="7"/>
        <v>2.0676811317590037E-2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1.8</v>
      </c>
      <c r="O25" s="49">
        <v>1.1000000000000001</v>
      </c>
      <c r="P25" s="49">
        <v>0</v>
      </c>
      <c r="Q25" s="49">
        <v>0</v>
      </c>
      <c r="R25" s="49">
        <v>0</v>
      </c>
      <c r="S25" s="49">
        <v>20</v>
      </c>
      <c r="T25" s="49">
        <v>20</v>
      </c>
    </row>
    <row r="26" spans="1:22" s="53" customFormat="1" ht="15.75" customHeight="1" x14ac:dyDescent="0.25">
      <c r="A26" s="62">
        <v>1939</v>
      </c>
      <c r="B26" s="50">
        <v>12</v>
      </c>
      <c r="C26" s="51">
        <f t="shared" si="4"/>
        <v>7.333333333333333</v>
      </c>
      <c r="D26" s="51">
        <f t="shared" si="5"/>
        <v>88</v>
      </c>
      <c r="E26" s="49">
        <v>172.899</v>
      </c>
      <c r="F26" s="49">
        <f t="shared" si="6"/>
        <v>23.577136363636363</v>
      </c>
      <c r="G26" s="52">
        <f t="shared" si="7"/>
        <v>4.2413971933518022E-2</v>
      </c>
      <c r="I26" s="49">
        <v>20</v>
      </c>
      <c r="J26" s="49">
        <v>20</v>
      </c>
      <c r="K26" s="49">
        <v>17.399999999999999</v>
      </c>
      <c r="L26" s="49">
        <v>0.6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15</v>
      </c>
      <c r="T26" s="49">
        <v>15</v>
      </c>
    </row>
    <row r="27" spans="1:22" s="53" customFormat="1" ht="15.75" customHeight="1" x14ac:dyDescent="0.25">
      <c r="A27" s="62">
        <v>1940</v>
      </c>
      <c r="B27" s="50">
        <v>12</v>
      </c>
      <c r="C27" s="51">
        <f t="shared" si="4"/>
        <v>3.9750000000000001</v>
      </c>
      <c r="D27" s="51">
        <f t="shared" si="5"/>
        <v>47.7</v>
      </c>
      <c r="E27" s="49">
        <v>172.899</v>
      </c>
      <c r="F27" s="49">
        <f t="shared" si="6"/>
        <v>43.496603773584901</v>
      </c>
      <c r="G27" s="52">
        <f t="shared" si="7"/>
        <v>2.299030069578193E-2</v>
      </c>
      <c r="I27" s="49">
        <v>15</v>
      </c>
      <c r="J27" s="49">
        <v>15</v>
      </c>
      <c r="K27" s="49">
        <v>14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3.7</v>
      </c>
    </row>
    <row r="28" spans="1:22" s="53" customFormat="1" ht="15.75" customHeight="1" x14ac:dyDescent="0.25">
      <c r="A28" s="62">
        <v>1941</v>
      </c>
      <c r="B28" s="50">
        <v>12</v>
      </c>
      <c r="C28" s="51">
        <f t="shared" si="4"/>
        <v>10.666666666666666</v>
      </c>
      <c r="D28" s="51">
        <f t="shared" si="5"/>
        <v>128</v>
      </c>
      <c r="E28" s="49">
        <v>172.899</v>
      </c>
      <c r="F28" s="49">
        <f t="shared" si="6"/>
        <v>16.20928125</v>
      </c>
      <c r="G28" s="52">
        <f t="shared" si="7"/>
        <v>6.1693050085117128E-2</v>
      </c>
      <c r="I28" s="49">
        <v>12</v>
      </c>
      <c r="J28" s="49">
        <v>12</v>
      </c>
      <c r="K28" s="49">
        <v>8.6999999999999993</v>
      </c>
      <c r="L28" s="49">
        <v>12.2</v>
      </c>
      <c r="M28" s="49">
        <v>20</v>
      </c>
      <c r="N28" s="49">
        <v>20</v>
      </c>
      <c r="O28" s="49">
        <v>17.399999999999999</v>
      </c>
      <c r="P28" s="49">
        <v>0</v>
      </c>
      <c r="Q28" s="49">
        <v>0</v>
      </c>
      <c r="R28" s="49">
        <v>0</v>
      </c>
      <c r="S28" s="49">
        <v>12</v>
      </c>
      <c r="T28" s="49">
        <v>13.7</v>
      </c>
    </row>
    <row r="29" spans="1:22" s="53" customFormat="1" ht="15.75" customHeight="1" x14ac:dyDescent="0.25">
      <c r="A29" s="62">
        <v>1942</v>
      </c>
      <c r="B29" s="50">
        <v>12</v>
      </c>
      <c r="C29" s="51">
        <f t="shared" si="4"/>
        <v>10.633333333333333</v>
      </c>
      <c r="D29" s="51">
        <f t="shared" si="5"/>
        <v>127.6</v>
      </c>
      <c r="E29" s="49">
        <v>172.899</v>
      </c>
      <c r="F29" s="49">
        <f t="shared" si="6"/>
        <v>16.260094043887147</v>
      </c>
      <c r="G29" s="52">
        <f t="shared" si="7"/>
        <v>6.1500259303601139E-2</v>
      </c>
      <c r="I29" s="49">
        <v>14</v>
      </c>
      <c r="J29" s="49">
        <v>14</v>
      </c>
      <c r="K29" s="49">
        <v>14</v>
      </c>
      <c r="L29" s="49">
        <v>14</v>
      </c>
      <c r="M29" s="49">
        <v>8</v>
      </c>
      <c r="N29" s="49">
        <v>9.8000000000000007</v>
      </c>
      <c r="O29" s="49">
        <v>9.9</v>
      </c>
      <c r="P29" s="49">
        <v>4.3</v>
      </c>
      <c r="Q29" s="49">
        <v>0</v>
      </c>
      <c r="R29" s="49">
        <v>0</v>
      </c>
      <c r="S29" s="49">
        <v>19.600000000000001</v>
      </c>
      <c r="T29" s="49">
        <v>20</v>
      </c>
    </row>
    <row r="30" spans="1:22" s="53" customFormat="1" ht="15.75" customHeight="1" x14ac:dyDescent="0.25">
      <c r="A30" s="62">
        <v>1943</v>
      </c>
      <c r="B30" s="50">
        <v>12</v>
      </c>
      <c r="C30" s="51">
        <f t="shared" si="4"/>
        <v>11.066666666666668</v>
      </c>
      <c r="D30" s="51">
        <f t="shared" si="5"/>
        <v>132.80000000000001</v>
      </c>
      <c r="E30" s="49">
        <v>172.899</v>
      </c>
      <c r="F30" s="49">
        <f t="shared" si="6"/>
        <v>15.62340361445783</v>
      </c>
      <c r="G30" s="52">
        <f t="shared" si="7"/>
        <v>6.4006539463309031E-2</v>
      </c>
      <c r="I30" s="49">
        <v>20</v>
      </c>
      <c r="J30" s="49">
        <v>20</v>
      </c>
      <c r="K30" s="49">
        <v>19.600000000000001</v>
      </c>
      <c r="L30" s="49">
        <v>0</v>
      </c>
      <c r="M30" s="49">
        <v>0</v>
      </c>
      <c r="N30" s="49">
        <v>9.1</v>
      </c>
      <c r="O30" s="49">
        <v>11</v>
      </c>
      <c r="P30" s="49">
        <v>11</v>
      </c>
      <c r="Q30" s="49">
        <v>2.2000000000000002</v>
      </c>
      <c r="R30" s="49">
        <v>2.8</v>
      </c>
      <c r="S30" s="49">
        <v>19</v>
      </c>
      <c r="T30" s="49">
        <v>18.100000000000001</v>
      </c>
    </row>
    <row r="31" spans="1:22" s="53" customFormat="1" ht="15.75" customHeight="1" x14ac:dyDescent="0.25">
      <c r="A31" s="62">
        <v>1944</v>
      </c>
      <c r="B31" s="50">
        <v>12</v>
      </c>
      <c r="C31" s="51">
        <f t="shared" si="4"/>
        <v>12.891666666666666</v>
      </c>
      <c r="D31" s="51">
        <f t="shared" si="5"/>
        <v>154.69999999999999</v>
      </c>
      <c r="E31" s="49">
        <v>172.899</v>
      </c>
      <c r="F31" s="49">
        <f t="shared" si="6"/>
        <v>13.41168713639302</v>
      </c>
      <c r="G31" s="52">
        <f t="shared" si="7"/>
        <v>7.4561834751309522E-2</v>
      </c>
      <c r="I31" s="49">
        <v>14.9</v>
      </c>
      <c r="J31" s="49">
        <v>13</v>
      </c>
      <c r="K31" s="49">
        <v>13</v>
      </c>
      <c r="L31" s="49">
        <v>8.1999999999999993</v>
      </c>
      <c r="M31" s="49">
        <v>6</v>
      </c>
      <c r="N31" s="49">
        <v>12.3</v>
      </c>
      <c r="O31" s="49">
        <v>15.9</v>
      </c>
      <c r="P31" s="49">
        <v>10.9</v>
      </c>
      <c r="Q31" s="49">
        <v>10</v>
      </c>
      <c r="R31" s="49">
        <v>12.8</v>
      </c>
      <c r="S31" s="49">
        <v>19</v>
      </c>
      <c r="T31" s="49">
        <v>18.7</v>
      </c>
    </row>
    <row r="32" spans="1:22" s="53" customFormat="1" ht="15.75" customHeight="1" x14ac:dyDescent="0.25">
      <c r="A32" s="62">
        <v>1945</v>
      </c>
      <c r="B32" s="50">
        <v>12</v>
      </c>
      <c r="C32" s="51">
        <f t="shared" si="4"/>
        <v>8.2166666666666668</v>
      </c>
      <c r="D32" s="51">
        <f t="shared" si="5"/>
        <v>98.6</v>
      </c>
      <c r="E32" s="49">
        <v>172.899</v>
      </c>
      <c r="F32" s="49">
        <f t="shared" si="6"/>
        <v>21.042474645030424</v>
      </c>
      <c r="G32" s="52">
        <f t="shared" si="7"/>
        <v>4.7522927643691787E-2</v>
      </c>
      <c r="I32" s="49">
        <v>18</v>
      </c>
      <c r="J32" s="49">
        <v>18</v>
      </c>
      <c r="K32" s="49">
        <v>18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2</v>
      </c>
      <c r="S32" s="49">
        <v>18.600000000000001</v>
      </c>
      <c r="T32" s="49">
        <v>24</v>
      </c>
    </row>
    <row r="33" spans="1:20" s="53" customFormat="1" ht="15.75" customHeight="1" x14ac:dyDescent="0.25">
      <c r="A33" s="62">
        <v>1946</v>
      </c>
      <c r="B33" s="50">
        <v>12</v>
      </c>
      <c r="C33" s="51">
        <f t="shared" si="4"/>
        <v>9.4416666666666664</v>
      </c>
      <c r="D33" s="51">
        <f t="shared" si="5"/>
        <v>113.3</v>
      </c>
      <c r="E33" s="49">
        <v>172.899</v>
      </c>
      <c r="F33" s="49">
        <f t="shared" si="6"/>
        <v>18.31233892321271</v>
      </c>
      <c r="G33" s="52">
        <f t="shared" si="7"/>
        <v>5.4607988864404461E-2</v>
      </c>
      <c r="I33" s="49">
        <v>24</v>
      </c>
      <c r="J33" s="49">
        <v>24</v>
      </c>
      <c r="K33" s="49">
        <v>24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3.5</v>
      </c>
      <c r="S33" s="49">
        <v>18.8</v>
      </c>
      <c r="T33" s="49">
        <v>19</v>
      </c>
    </row>
    <row r="34" spans="1:20" s="53" customFormat="1" ht="15.75" customHeight="1" x14ac:dyDescent="0.25">
      <c r="A34" s="62">
        <v>1947</v>
      </c>
      <c r="B34" s="50">
        <v>12</v>
      </c>
      <c r="C34" s="51">
        <f t="shared" si="4"/>
        <v>10.741666666666667</v>
      </c>
      <c r="D34" s="51">
        <f t="shared" si="5"/>
        <v>128.9</v>
      </c>
      <c r="E34" s="49">
        <v>172.899</v>
      </c>
      <c r="F34" s="49">
        <f t="shared" si="6"/>
        <v>16.09610550814585</v>
      </c>
      <c r="G34" s="52">
        <f t="shared" si="7"/>
        <v>6.212682934352811E-2</v>
      </c>
      <c r="I34" s="49">
        <v>17.5</v>
      </c>
      <c r="J34" s="49">
        <v>25</v>
      </c>
      <c r="K34" s="49">
        <v>22.5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21.9</v>
      </c>
      <c r="S34" s="49">
        <v>21</v>
      </c>
      <c r="T34" s="49">
        <v>21</v>
      </c>
    </row>
    <row r="35" spans="1:20" s="53" customFormat="1" ht="15.75" customHeight="1" x14ac:dyDescent="0.25">
      <c r="A35" s="62">
        <v>1948</v>
      </c>
      <c r="B35" s="50">
        <v>12</v>
      </c>
      <c r="C35" s="51">
        <f t="shared" si="4"/>
        <v>5.375</v>
      </c>
      <c r="D35" s="51">
        <f t="shared" si="5"/>
        <v>64.5</v>
      </c>
      <c r="E35" s="49">
        <v>172.899</v>
      </c>
      <c r="F35" s="49">
        <f t="shared" si="6"/>
        <v>32.167255813953489</v>
      </c>
      <c r="G35" s="52">
        <f t="shared" si="7"/>
        <v>3.1087513519453554E-2</v>
      </c>
      <c r="I35" s="49">
        <v>17.899999999999999</v>
      </c>
      <c r="J35" s="49">
        <v>17</v>
      </c>
      <c r="K35" s="49">
        <v>6.5</v>
      </c>
      <c r="L35" s="49">
        <v>0.3</v>
      </c>
      <c r="M35" s="49">
        <v>2.4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3.2</v>
      </c>
      <c r="T35" s="49">
        <v>17.2</v>
      </c>
    </row>
    <row r="36" spans="1:20" s="53" customFormat="1" ht="15.75" customHeight="1" x14ac:dyDescent="0.25">
      <c r="A36" s="62">
        <v>1949</v>
      </c>
      <c r="B36" s="50">
        <v>12</v>
      </c>
      <c r="C36" s="51">
        <f t="shared" si="4"/>
        <v>7.666666666666667</v>
      </c>
      <c r="D36" s="51">
        <f t="shared" si="5"/>
        <v>92</v>
      </c>
      <c r="E36" s="49">
        <v>172.899</v>
      </c>
      <c r="F36" s="49">
        <f t="shared" si="6"/>
        <v>22.55204347826087</v>
      </c>
      <c r="G36" s="52">
        <f t="shared" si="7"/>
        <v>4.434187974867794E-2</v>
      </c>
      <c r="I36" s="49">
        <v>18</v>
      </c>
      <c r="J36" s="49">
        <v>18</v>
      </c>
      <c r="K36" s="49">
        <v>16.2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4</v>
      </c>
      <c r="S36" s="49">
        <v>17.8</v>
      </c>
      <c r="T36" s="49">
        <v>18</v>
      </c>
    </row>
    <row r="37" spans="1:20" s="53" customFormat="1" ht="15.75" customHeight="1" x14ac:dyDescent="0.25">
      <c r="A37" s="62">
        <v>1950</v>
      </c>
      <c r="B37" s="50">
        <v>12</v>
      </c>
      <c r="C37" s="51">
        <f t="shared" si="4"/>
        <v>7.7750000000000012</v>
      </c>
      <c r="D37" s="51">
        <f t="shared" si="5"/>
        <v>93.300000000000011</v>
      </c>
      <c r="E37" s="49">
        <v>172.899</v>
      </c>
      <c r="F37" s="49">
        <f t="shared" si="6"/>
        <v>22.237813504823148</v>
      </c>
      <c r="G37" s="52">
        <f t="shared" si="7"/>
        <v>4.4968449788604918E-2</v>
      </c>
      <c r="I37" s="49">
        <v>18</v>
      </c>
      <c r="J37" s="49">
        <v>18</v>
      </c>
      <c r="K37" s="49">
        <v>18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5.2</v>
      </c>
      <c r="S37" s="49">
        <v>17.100000000000001</v>
      </c>
      <c r="T37" s="49">
        <v>17</v>
      </c>
    </row>
    <row r="38" spans="1:20" s="53" customFormat="1" ht="15.75" customHeight="1" x14ac:dyDescent="0.25">
      <c r="A38" s="62">
        <v>1951</v>
      </c>
      <c r="B38" s="50">
        <v>12</v>
      </c>
      <c r="C38" s="51">
        <f t="shared" si="4"/>
        <v>6.6000000000000005</v>
      </c>
      <c r="D38" s="51">
        <f t="shared" si="5"/>
        <v>79.2</v>
      </c>
      <c r="E38" s="49">
        <v>172.899</v>
      </c>
      <c r="F38" s="49">
        <f t="shared" si="6"/>
        <v>26.19681818181818</v>
      </c>
      <c r="G38" s="52">
        <f t="shared" si="7"/>
        <v>3.8172574740166228E-2</v>
      </c>
      <c r="I38" s="49">
        <v>17</v>
      </c>
      <c r="J38" s="49">
        <v>17</v>
      </c>
      <c r="K38" s="49">
        <v>8.1999999999999993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5</v>
      </c>
      <c r="S38" s="49">
        <v>16</v>
      </c>
      <c r="T38" s="49">
        <v>16</v>
      </c>
    </row>
    <row r="39" spans="1:20" s="53" customFormat="1" ht="15.75" customHeight="1" x14ac:dyDescent="0.25">
      <c r="A39" s="62">
        <v>1952</v>
      </c>
      <c r="B39" s="50">
        <v>12</v>
      </c>
      <c r="C39" s="51">
        <f t="shared" si="4"/>
        <v>7.4916666666666671</v>
      </c>
      <c r="D39" s="51">
        <f t="shared" si="5"/>
        <v>89.9</v>
      </c>
      <c r="E39" s="49">
        <v>172.899</v>
      </c>
      <c r="F39" s="49">
        <f t="shared" si="6"/>
        <v>23.078843159065627</v>
      </c>
      <c r="G39" s="52">
        <f t="shared" si="7"/>
        <v>4.3329728145718983E-2</v>
      </c>
      <c r="I39" s="49">
        <v>16</v>
      </c>
      <c r="J39" s="49">
        <v>16</v>
      </c>
      <c r="K39" s="49">
        <v>10.8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15.1</v>
      </c>
      <c r="T39" s="49">
        <v>32</v>
      </c>
    </row>
    <row r="40" spans="1:20" s="53" customFormat="1" ht="15.75" customHeight="1" x14ac:dyDescent="0.25">
      <c r="A40" s="62">
        <v>1953</v>
      </c>
      <c r="B40" s="50">
        <v>12</v>
      </c>
      <c r="C40" s="51">
        <f t="shared" si="4"/>
        <v>11.858333333333334</v>
      </c>
      <c r="D40" s="51">
        <f t="shared" si="5"/>
        <v>142.30000000000001</v>
      </c>
      <c r="E40" s="49">
        <v>172.899</v>
      </c>
      <c r="F40" s="49">
        <f t="shared" si="6"/>
        <v>14.580379479971889</v>
      </c>
      <c r="G40" s="52">
        <f t="shared" si="7"/>
        <v>6.858532052431382E-2</v>
      </c>
      <c r="I40" s="49">
        <v>31</v>
      </c>
      <c r="J40" s="49">
        <v>31</v>
      </c>
      <c r="K40" s="49">
        <v>29.9</v>
      </c>
      <c r="L40" s="49">
        <v>5.0999999999999996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1.3</v>
      </c>
      <c r="S40" s="49">
        <v>22</v>
      </c>
      <c r="T40" s="49">
        <v>22</v>
      </c>
    </row>
    <row r="41" spans="1:20" s="53" customFormat="1" ht="15.75" customHeight="1" x14ac:dyDescent="0.25">
      <c r="A41" s="62">
        <v>1954</v>
      </c>
      <c r="B41" s="50">
        <v>12</v>
      </c>
      <c r="C41" s="51">
        <f t="shared" si="4"/>
        <v>8.7083333333333339</v>
      </c>
      <c r="D41" s="51">
        <f t="shared" si="5"/>
        <v>104.5</v>
      </c>
      <c r="E41" s="49">
        <v>172.899</v>
      </c>
      <c r="F41" s="49">
        <f t="shared" si="6"/>
        <v>19.85443062200957</v>
      </c>
      <c r="G41" s="52">
        <f t="shared" si="7"/>
        <v>5.036659167105266E-2</v>
      </c>
      <c r="I41" s="49">
        <v>22</v>
      </c>
      <c r="J41" s="49">
        <v>22</v>
      </c>
      <c r="K41" s="49">
        <v>0</v>
      </c>
      <c r="L41" s="49">
        <v>2.6</v>
      </c>
      <c r="M41" s="49">
        <v>6.4</v>
      </c>
      <c r="N41" s="49">
        <v>0</v>
      </c>
      <c r="O41" s="49">
        <v>0</v>
      </c>
      <c r="P41" s="49">
        <v>0</v>
      </c>
      <c r="Q41" s="49">
        <v>0</v>
      </c>
      <c r="R41" s="49">
        <v>9.5</v>
      </c>
      <c r="S41" s="49">
        <v>21</v>
      </c>
      <c r="T41" s="49">
        <v>21</v>
      </c>
    </row>
    <row r="42" spans="1:20" s="53" customFormat="1" ht="15.75" customHeight="1" x14ac:dyDescent="0.25">
      <c r="A42" s="62">
        <v>1955</v>
      </c>
      <c r="B42" s="50">
        <v>12</v>
      </c>
      <c r="C42" s="51">
        <f t="shared" si="4"/>
        <v>6.5750000000000002</v>
      </c>
      <c r="D42" s="51">
        <f t="shared" si="5"/>
        <v>78.900000000000006</v>
      </c>
      <c r="E42" s="49">
        <v>172.899</v>
      </c>
      <c r="F42" s="49">
        <f t="shared" si="6"/>
        <v>26.296425855513306</v>
      </c>
      <c r="G42" s="52">
        <f t="shared" si="7"/>
        <v>3.8027981654029229E-2</v>
      </c>
      <c r="I42" s="49">
        <v>21</v>
      </c>
      <c r="J42" s="49">
        <v>21</v>
      </c>
      <c r="K42" s="49">
        <v>0</v>
      </c>
      <c r="L42" s="49">
        <v>0</v>
      </c>
      <c r="M42" s="49">
        <v>8.1999999999999993</v>
      </c>
      <c r="N42" s="49">
        <v>0</v>
      </c>
      <c r="O42" s="49">
        <v>0</v>
      </c>
      <c r="P42" s="49">
        <v>0</v>
      </c>
      <c r="Q42" s="49">
        <v>0.6</v>
      </c>
      <c r="R42" s="49">
        <v>14.4</v>
      </c>
      <c r="S42" s="49">
        <v>13.7</v>
      </c>
      <c r="T42" s="49">
        <v>0</v>
      </c>
    </row>
    <row r="43" spans="1:20" s="53" customFormat="1" ht="15.75" customHeight="1" x14ac:dyDescent="0.25">
      <c r="A43" s="62">
        <v>1956</v>
      </c>
      <c r="B43" s="50">
        <v>12</v>
      </c>
      <c r="C43" s="51">
        <f t="shared" si="4"/>
        <v>4.9750000000000005</v>
      </c>
      <c r="D43" s="51">
        <f t="shared" si="5"/>
        <v>59.7</v>
      </c>
      <c r="E43" s="49">
        <v>172.899</v>
      </c>
      <c r="F43" s="49">
        <f t="shared" si="6"/>
        <v>34.753567839195973</v>
      </c>
      <c r="G43" s="52">
        <f t="shared" si="7"/>
        <v>2.8774024141261664E-2</v>
      </c>
      <c r="I43" s="49">
        <v>0</v>
      </c>
      <c r="J43" s="49">
        <v>0</v>
      </c>
      <c r="K43" s="49">
        <v>0</v>
      </c>
      <c r="L43" s="49">
        <v>33.9</v>
      </c>
      <c r="M43" s="49">
        <v>25.8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62">
        <v>1957</v>
      </c>
      <c r="B44" s="50">
        <v>12</v>
      </c>
      <c r="C44" s="51">
        <f t="shared" si="4"/>
        <v>5.8250000000000002</v>
      </c>
      <c r="D44" s="51">
        <f t="shared" si="5"/>
        <v>69.900000000000006</v>
      </c>
      <c r="E44" s="49">
        <v>172.899</v>
      </c>
      <c r="F44" s="49">
        <f t="shared" si="6"/>
        <v>29.682231759656652</v>
      </c>
      <c r="G44" s="52">
        <f t="shared" si="7"/>
        <v>3.3690189069919434E-2</v>
      </c>
      <c r="I44" s="49">
        <v>0</v>
      </c>
      <c r="J44" s="49">
        <v>0</v>
      </c>
      <c r="K44" s="49">
        <v>0</v>
      </c>
      <c r="L44" s="49">
        <v>2.9</v>
      </c>
      <c r="M44" s="93">
        <v>0</v>
      </c>
      <c r="N44" s="49">
        <v>0</v>
      </c>
      <c r="O44" s="49">
        <v>0</v>
      </c>
      <c r="P44" s="49">
        <v>0</v>
      </c>
      <c r="Q44" s="49">
        <v>0</v>
      </c>
      <c r="R44" s="49">
        <v>18.600000000000001</v>
      </c>
      <c r="S44" s="49">
        <v>33.4</v>
      </c>
      <c r="T44" s="49">
        <v>15</v>
      </c>
    </row>
    <row r="45" spans="1:20" s="53" customFormat="1" ht="15.75" customHeight="1" x14ac:dyDescent="0.25">
      <c r="A45" s="62">
        <v>1958</v>
      </c>
      <c r="B45" s="50">
        <v>12</v>
      </c>
      <c r="C45" s="51">
        <f t="shared" si="4"/>
        <v>8.125</v>
      </c>
      <c r="D45" s="51">
        <f t="shared" si="5"/>
        <v>97.5</v>
      </c>
      <c r="E45" s="49">
        <v>172.899</v>
      </c>
      <c r="F45" s="49">
        <f t="shared" si="6"/>
        <v>21.279876923076923</v>
      </c>
      <c r="G45" s="52">
        <f t="shared" si="7"/>
        <v>4.6992752994522817E-2</v>
      </c>
      <c r="I45" s="49">
        <v>15</v>
      </c>
      <c r="J45" s="49">
        <v>16.600000000000001</v>
      </c>
      <c r="K45" s="49">
        <v>0</v>
      </c>
      <c r="L45" s="49">
        <v>0</v>
      </c>
      <c r="M45" s="49">
        <v>2</v>
      </c>
      <c r="N45" s="49">
        <v>0</v>
      </c>
      <c r="O45" s="49">
        <v>0</v>
      </c>
      <c r="P45" s="49">
        <v>0</v>
      </c>
      <c r="Q45" s="49">
        <v>0</v>
      </c>
      <c r="R45" s="49">
        <v>26.3</v>
      </c>
      <c r="S45" s="49">
        <v>18.600000000000001</v>
      </c>
      <c r="T45" s="49">
        <v>19</v>
      </c>
    </row>
    <row r="46" spans="1:20" s="53" customFormat="1" ht="15.75" customHeight="1" x14ac:dyDescent="0.25">
      <c r="A46" s="62">
        <v>1959</v>
      </c>
      <c r="B46" s="50">
        <v>12</v>
      </c>
      <c r="C46" s="51">
        <f t="shared" si="4"/>
        <v>5.9833333333333334</v>
      </c>
      <c r="D46" s="51">
        <f t="shared" si="5"/>
        <v>71.8</v>
      </c>
      <c r="E46" s="49">
        <v>172.899</v>
      </c>
      <c r="F46" s="49">
        <f t="shared" si="6"/>
        <v>28.896768802228411</v>
      </c>
      <c r="G46" s="52">
        <f t="shared" si="7"/>
        <v>3.4605945282120389E-2</v>
      </c>
      <c r="I46" s="49">
        <v>16.2</v>
      </c>
      <c r="J46" s="49">
        <v>14</v>
      </c>
      <c r="K46" s="49">
        <v>0</v>
      </c>
      <c r="L46" s="49">
        <v>1.2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4.3</v>
      </c>
      <c r="S46" s="49">
        <v>20.100000000000001</v>
      </c>
      <c r="T46" s="49">
        <v>16</v>
      </c>
    </row>
    <row r="47" spans="1:20" s="53" customFormat="1" ht="15.75" customHeight="1" x14ac:dyDescent="0.25">
      <c r="A47" s="62">
        <v>1960</v>
      </c>
      <c r="B47" s="50">
        <v>12</v>
      </c>
      <c r="C47" s="51">
        <f t="shared" si="4"/>
        <v>5.8083333333333327</v>
      </c>
      <c r="D47" s="51">
        <f t="shared" si="5"/>
        <v>69.699999999999989</v>
      </c>
      <c r="E47" s="49">
        <v>172.899</v>
      </c>
      <c r="F47" s="49">
        <f t="shared" si="6"/>
        <v>29.767403156384507</v>
      </c>
      <c r="G47" s="52">
        <f t="shared" si="7"/>
        <v>3.3593793679161432E-2</v>
      </c>
      <c r="I47" s="49">
        <v>15.6</v>
      </c>
      <c r="J47" s="49">
        <v>14</v>
      </c>
      <c r="K47" s="49">
        <v>5.8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2.2000000000000002</v>
      </c>
      <c r="S47" s="49">
        <v>14.2</v>
      </c>
      <c r="T47" s="49">
        <v>17.899999999999999</v>
      </c>
    </row>
    <row r="48" spans="1:20" s="53" customFormat="1" ht="15.75" customHeight="1" x14ac:dyDescent="0.25">
      <c r="A48" s="62">
        <v>1961</v>
      </c>
      <c r="B48" s="50">
        <v>12</v>
      </c>
      <c r="C48" s="51">
        <f t="shared" si="4"/>
        <v>4.3</v>
      </c>
      <c r="D48" s="51">
        <f t="shared" si="5"/>
        <v>51.6</v>
      </c>
      <c r="E48" s="49">
        <v>172.899</v>
      </c>
      <c r="F48" s="49">
        <f t="shared" si="6"/>
        <v>40.209069767441861</v>
      </c>
      <c r="G48" s="52">
        <f t="shared" si="7"/>
        <v>2.4870010815562841E-2</v>
      </c>
      <c r="I48" s="49">
        <v>9</v>
      </c>
      <c r="J48" s="49">
        <v>8.6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6</v>
      </c>
      <c r="S48" s="49">
        <v>14</v>
      </c>
      <c r="T48" s="49">
        <v>14</v>
      </c>
    </row>
    <row r="49" spans="1:20" s="53" customFormat="1" ht="15.75" customHeight="1" x14ac:dyDescent="0.25">
      <c r="A49" s="62">
        <v>1962</v>
      </c>
      <c r="B49" s="50">
        <v>12</v>
      </c>
      <c r="C49" s="51">
        <f t="shared" si="4"/>
        <v>8.6166666666666671</v>
      </c>
      <c r="D49" s="51">
        <f t="shared" si="5"/>
        <v>103.4</v>
      </c>
      <c r="E49" s="49">
        <v>172.899</v>
      </c>
      <c r="F49" s="49">
        <f t="shared" si="6"/>
        <v>20.065647969052222</v>
      </c>
      <c r="G49" s="52">
        <f t="shared" si="7"/>
        <v>4.9836417021883683E-2</v>
      </c>
      <c r="I49" s="49">
        <v>14</v>
      </c>
      <c r="J49" s="49">
        <v>14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47.4</v>
      </c>
      <c r="S49" s="49">
        <v>14</v>
      </c>
      <c r="T49" s="49">
        <v>14</v>
      </c>
    </row>
    <row r="50" spans="1:20" s="53" customFormat="1" ht="15.75" customHeight="1" x14ac:dyDescent="0.25">
      <c r="A50" s="62">
        <v>1963</v>
      </c>
      <c r="B50" s="50">
        <v>12</v>
      </c>
      <c r="C50" s="51">
        <f t="shared" si="4"/>
        <v>3.5083333333333333</v>
      </c>
      <c r="D50" s="51">
        <f t="shared" si="5"/>
        <v>42.1</v>
      </c>
      <c r="E50" s="49">
        <v>172.899</v>
      </c>
      <c r="F50" s="49">
        <f t="shared" si="6"/>
        <v>49.282375296912114</v>
      </c>
      <c r="G50" s="52">
        <f t="shared" si="7"/>
        <v>2.0291229754558056E-2</v>
      </c>
      <c r="I50" s="49">
        <v>4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1.1000000000000001</v>
      </c>
      <c r="S50" s="49">
        <v>15</v>
      </c>
      <c r="T50" s="49">
        <v>22</v>
      </c>
    </row>
    <row r="51" spans="1:20" s="53" customFormat="1" ht="15.75" customHeight="1" x14ac:dyDescent="0.25">
      <c r="A51" s="62">
        <v>1964</v>
      </c>
      <c r="B51" s="50">
        <v>12</v>
      </c>
      <c r="C51" s="51">
        <f t="shared" si="4"/>
        <v>9.2666666666666675</v>
      </c>
      <c r="D51" s="51">
        <f t="shared" si="5"/>
        <v>111.2</v>
      </c>
      <c r="E51" s="49">
        <v>172.899</v>
      </c>
      <c r="F51" s="49">
        <f t="shared" si="6"/>
        <v>18.658165467625899</v>
      </c>
      <c r="G51" s="52">
        <f t="shared" si="7"/>
        <v>5.3595837261445511E-2</v>
      </c>
      <c r="I51" s="49">
        <v>22</v>
      </c>
      <c r="J51" s="49">
        <v>21.8</v>
      </c>
      <c r="K51" s="49">
        <v>7</v>
      </c>
      <c r="L51" s="49">
        <v>0.7</v>
      </c>
      <c r="M51" s="49">
        <v>13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28.7</v>
      </c>
      <c r="T51" s="49">
        <v>18</v>
      </c>
    </row>
    <row r="52" spans="1:20" s="53" customFormat="1" ht="15.75" customHeight="1" x14ac:dyDescent="0.25">
      <c r="A52" s="62">
        <v>1965</v>
      </c>
      <c r="B52" s="50">
        <v>12</v>
      </c>
      <c r="C52" s="51">
        <f t="shared" si="4"/>
        <v>6.0666666666666664</v>
      </c>
      <c r="D52" s="51">
        <f t="shared" si="5"/>
        <v>72.8</v>
      </c>
      <c r="E52" s="49">
        <v>172.899</v>
      </c>
      <c r="F52" s="49">
        <f t="shared" si="6"/>
        <v>28.499835164835165</v>
      </c>
      <c r="G52" s="52">
        <f t="shared" si="7"/>
        <v>3.5087922235910368E-2</v>
      </c>
      <c r="I52" s="49">
        <v>18</v>
      </c>
      <c r="J52" s="49">
        <v>18</v>
      </c>
      <c r="K52" s="49">
        <v>5.5</v>
      </c>
      <c r="L52" s="49">
        <v>0</v>
      </c>
      <c r="M52" s="49">
        <v>7.7</v>
      </c>
      <c r="N52" s="49">
        <v>3.8</v>
      </c>
      <c r="O52" s="49">
        <v>0</v>
      </c>
      <c r="P52" s="49">
        <v>0</v>
      </c>
      <c r="Q52" s="49">
        <v>0</v>
      </c>
      <c r="R52" s="49">
        <v>0</v>
      </c>
      <c r="S52" s="49">
        <v>4.8</v>
      </c>
      <c r="T52" s="49">
        <v>15</v>
      </c>
    </row>
    <row r="53" spans="1:20" s="53" customFormat="1" ht="15.75" customHeight="1" x14ac:dyDescent="0.25">
      <c r="A53" s="62">
        <v>1966</v>
      </c>
      <c r="B53" s="50">
        <v>12</v>
      </c>
      <c r="C53" s="51">
        <f t="shared" si="4"/>
        <v>6.9833333333333334</v>
      </c>
      <c r="D53" s="51">
        <f t="shared" si="5"/>
        <v>83.8</v>
      </c>
      <c r="E53" s="49">
        <v>172.899</v>
      </c>
      <c r="F53" s="49">
        <f t="shared" si="6"/>
        <v>24.758806682577564</v>
      </c>
      <c r="G53" s="52">
        <f t="shared" si="7"/>
        <v>4.0389668727600123E-2</v>
      </c>
      <c r="I53" s="49">
        <v>15</v>
      </c>
      <c r="J53" s="49">
        <v>21.4</v>
      </c>
      <c r="K53" s="49">
        <v>12</v>
      </c>
      <c r="L53" s="49">
        <v>0.4</v>
      </c>
      <c r="M53" s="49">
        <v>1.5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11.2</v>
      </c>
      <c r="T53" s="49">
        <v>22.3</v>
      </c>
    </row>
    <row r="54" spans="1:20" s="53" customFormat="1" ht="15.75" customHeight="1" x14ac:dyDescent="0.25">
      <c r="A54" s="62">
        <v>1967</v>
      </c>
      <c r="B54" s="50">
        <v>12</v>
      </c>
      <c r="C54" s="51">
        <f t="shared" si="4"/>
        <v>10.491666666666667</v>
      </c>
      <c r="D54" s="51">
        <f t="shared" si="5"/>
        <v>125.9</v>
      </c>
      <c r="E54" s="49">
        <v>172.899</v>
      </c>
      <c r="F54" s="49">
        <f t="shared" si="6"/>
        <v>16.479650516282764</v>
      </c>
      <c r="G54" s="52">
        <f t="shared" si="7"/>
        <v>6.0680898482158178E-2</v>
      </c>
      <c r="I54" s="49">
        <v>25</v>
      </c>
      <c r="J54" s="49">
        <v>25</v>
      </c>
      <c r="K54" s="49">
        <v>25</v>
      </c>
      <c r="L54" s="49">
        <v>2.5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18.899999999999999</v>
      </c>
      <c r="T54" s="49">
        <v>29.5</v>
      </c>
    </row>
    <row r="55" spans="1:20" s="53" customFormat="1" ht="15.75" customHeight="1" x14ac:dyDescent="0.25">
      <c r="A55" s="62">
        <v>1968</v>
      </c>
      <c r="B55" s="50">
        <v>12</v>
      </c>
      <c r="C55" s="51">
        <f t="shared" si="4"/>
        <v>15.375</v>
      </c>
      <c r="D55" s="51">
        <f t="shared" si="5"/>
        <v>184.5</v>
      </c>
      <c r="E55" s="49">
        <v>172.899</v>
      </c>
      <c r="F55" s="49">
        <f t="shared" si="6"/>
        <v>11.245463414634147</v>
      </c>
      <c r="G55" s="52">
        <f t="shared" si="7"/>
        <v>8.8924747974250859E-2</v>
      </c>
      <c r="I55" s="49">
        <v>32</v>
      </c>
      <c r="J55" s="49">
        <v>32</v>
      </c>
      <c r="K55" s="49">
        <v>19.100000000000001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41.4</v>
      </c>
      <c r="T55" s="49">
        <v>60</v>
      </c>
    </row>
    <row r="56" spans="1:20" s="53" customFormat="1" ht="15.75" customHeight="1" x14ac:dyDescent="0.25">
      <c r="A56" s="62">
        <v>1969</v>
      </c>
      <c r="B56" s="50">
        <v>12</v>
      </c>
      <c r="C56" s="51">
        <f t="shared" si="4"/>
        <v>0</v>
      </c>
      <c r="D56" s="51">
        <f t="shared" si="5"/>
        <v>0</v>
      </c>
      <c r="E56" s="49">
        <v>172.899</v>
      </c>
      <c r="F56" s="49" t="e">
        <f t="shared" si="6"/>
        <v>#DIV/0!</v>
      </c>
      <c r="G56" s="52">
        <f t="shared" si="7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62">
        <v>1970</v>
      </c>
      <c r="B57" s="50">
        <v>12</v>
      </c>
      <c r="C57" s="51">
        <f t="shared" si="4"/>
        <v>0</v>
      </c>
      <c r="D57" s="51">
        <f t="shared" si="5"/>
        <v>0</v>
      </c>
      <c r="E57" s="49">
        <v>172.899</v>
      </c>
      <c r="F57" s="49" t="e">
        <f t="shared" si="6"/>
        <v>#DIV/0!</v>
      </c>
      <c r="G57" s="52">
        <f t="shared" si="7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0" s="53" customFormat="1" ht="15.75" customHeight="1" x14ac:dyDescent="0.25">
      <c r="A58" s="62">
        <v>1971</v>
      </c>
      <c r="B58" s="50">
        <v>12</v>
      </c>
      <c r="C58" s="51">
        <f t="shared" si="4"/>
        <v>0</v>
      </c>
      <c r="D58" s="51">
        <f t="shared" si="5"/>
        <v>0</v>
      </c>
      <c r="E58" s="49">
        <v>172.899</v>
      </c>
      <c r="F58" s="49" t="e">
        <f t="shared" si="6"/>
        <v>#DIV/0!</v>
      </c>
      <c r="G58" s="52">
        <f t="shared" si="7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0" s="53" customFormat="1" ht="15.75" customHeight="1" x14ac:dyDescent="0.25">
      <c r="A59" s="62">
        <v>1972</v>
      </c>
      <c r="B59" s="50">
        <v>12</v>
      </c>
      <c r="C59" s="51">
        <f t="shared" si="4"/>
        <v>0</v>
      </c>
      <c r="D59" s="51">
        <f t="shared" si="5"/>
        <v>0</v>
      </c>
      <c r="E59" s="49">
        <v>172.899</v>
      </c>
      <c r="F59" s="49" t="e">
        <f t="shared" si="6"/>
        <v>#DIV/0!</v>
      </c>
      <c r="G59" s="52">
        <f t="shared" si="7"/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62">
        <v>1973</v>
      </c>
      <c r="B60" s="50">
        <v>12</v>
      </c>
      <c r="C60" s="51">
        <f t="shared" si="4"/>
        <v>10.125</v>
      </c>
      <c r="D60" s="51">
        <f t="shared" si="5"/>
        <v>121.5</v>
      </c>
      <c r="E60" s="49">
        <v>172.899</v>
      </c>
      <c r="F60" s="49">
        <f t="shared" si="6"/>
        <v>17.076444444444444</v>
      </c>
      <c r="G60" s="52">
        <f t="shared" si="7"/>
        <v>5.8560199885482278E-2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21</v>
      </c>
      <c r="P60" s="49">
        <v>21</v>
      </c>
      <c r="Q60" s="49">
        <v>21</v>
      </c>
      <c r="R60" s="49">
        <v>20.5</v>
      </c>
      <c r="S60" s="49">
        <v>18</v>
      </c>
      <c r="T60" s="49">
        <v>20</v>
      </c>
    </row>
    <row r="61" spans="1:20" s="53" customFormat="1" ht="15.75" customHeight="1" x14ac:dyDescent="0.25">
      <c r="A61" s="62">
        <v>1974</v>
      </c>
      <c r="B61" s="50">
        <v>12</v>
      </c>
      <c r="C61" s="51">
        <f t="shared" si="4"/>
        <v>12.841666666666667</v>
      </c>
      <c r="D61" s="51">
        <f t="shared" si="5"/>
        <v>154.1</v>
      </c>
      <c r="E61" s="49">
        <v>172.899</v>
      </c>
      <c r="F61" s="49">
        <f t="shared" si="6"/>
        <v>13.463906554185593</v>
      </c>
      <c r="G61" s="52">
        <f t="shared" si="7"/>
        <v>7.4272648579035538E-2</v>
      </c>
      <c r="I61" s="49">
        <v>20</v>
      </c>
      <c r="J61" s="49">
        <v>19</v>
      </c>
      <c r="K61" s="49">
        <v>20.7</v>
      </c>
      <c r="L61" s="49">
        <v>21</v>
      </c>
      <c r="M61" s="49">
        <v>21</v>
      </c>
      <c r="N61" s="49">
        <v>21</v>
      </c>
      <c r="O61" s="49">
        <v>0</v>
      </c>
      <c r="P61" s="49">
        <v>0</v>
      </c>
      <c r="Q61" s="49">
        <v>0</v>
      </c>
      <c r="R61" s="49">
        <v>0</v>
      </c>
      <c r="S61" s="49">
        <v>15.5</v>
      </c>
      <c r="T61" s="49">
        <v>15.9</v>
      </c>
    </row>
    <row r="62" spans="1:20" s="53" customFormat="1" ht="15.75" customHeight="1" x14ac:dyDescent="0.25">
      <c r="A62" s="62">
        <v>1975</v>
      </c>
      <c r="B62" s="50">
        <v>12</v>
      </c>
      <c r="C62" s="51">
        <f t="shared" si="4"/>
        <v>9.0916666666666668</v>
      </c>
      <c r="D62" s="51">
        <f t="shared" si="5"/>
        <v>109.1</v>
      </c>
      <c r="E62" s="49">
        <v>172.899</v>
      </c>
      <c r="F62" s="49">
        <f t="shared" si="6"/>
        <v>19.01730522456462</v>
      </c>
      <c r="G62" s="52">
        <f t="shared" si="7"/>
        <v>5.2583685658486555E-2</v>
      </c>
      <c r="I62" s="49">
        <v>24</v>
      </c>
      <c r="J62" s="49">
        <v>20.3</v>
      </c>
      <c r="K62" s="49">
        <v>0.6</v>
      </c>
      <c r="L62" s="49">
        <v>0</v>
      </c>
      <c r="M62" s="49">
        <v>0</v>
      </c>
      <c r="N62" s="49">
        <v>0</v>
      </c>
      <c r="O62" s="49">
        <v>0</v>
      </c>
      <c r="P62" s="49">
        <v>0.1</v>
      </c>
      <c r="Q62" s="49">
        <v>1</v>
      </c>
      <c r="R62" s="49">
        <v>1</v>
      </c>
      <c r="S62" s="49">
        <v>15.1</v>
      </c>
      <c r="T62" s="49">
        <v>47</v>
      </c>
    </row>
    <row r="63" spans="1:20" s="53" customFormat="1" ht="15.75" customHeight="1" x14ac:dyDescent="0.25">
      <c r="A63" s="62">
        <v>1976</v>
      </c>
      <c r="B63" s="50">
        <v>12</v>
      </c>
      <c r="C63" s="51">
        <f t="shared" si="4"/>
        <v>21.083333333333332</v>
      </c>
      <c r="D63" s="51">
        <f t="shared" si="5"/>
        <v>253</v>
      </c>
      <c r="E63" s="49">
        <v>172.899</v>
      </c>
      <c r="F63" s="49">
        <f t="shared" si="6"/>
        <v>8.2007430830039532</v>
      </c>
      <c r="G63" s="52">
        <f t="shared" si="7"/>
        <v>0.12194016930886432</v>
      </c>
      <c r="I63" s="49">
        <v>47</v>
      </c>
      <c r="J63" s="49">
        <v>47</v>
      </c>
      <c r="K63" s="49">
        <v>46.1</v>
      </c>
      <c r="L63" s="49">
        <v>36.9</v>
      </c>
      <c r="M63" s="49">
        <v>38</v>
      </c>
      <c r="N63" s="49">
        <v>38</v>
      </c>
      <c r="O63" s="49"/>
      <c r="P63" s="49"/>
      <c r="Q63" s="49"/>
      <c r="R63" s="49"/>
      <c r="S63" s="49"/>
      <c r="T63" s="49"/>
    </row>
    <row r="64" spans="1:20" s="53" customFormat="1" ht="15.75" customHeight="1" x14ac:dyDescent="0.25">
      <c r="A64" s="62">
        <v>1977</v>
      </c>
      <c r="B64" s="50"/>
      <c r="C64" s="51"/>
      <c r="D64" s="51"/>
      <c r="E64" s="49">
        <v>172.899</v>
      </c>
      <c r="F64" s="49"/>
      <c r="G64" s="52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</row>
    <row r="65" spans="1:20" s="53" customFormat="1" ht="15.75" customHeight="1" x14ac:dyDescent="0.25">
      <c r="A65" s="62">
        <v>1978</v>
      </c>
      <c r="B65" s="50"/>
      <c r="C65" s="51"/>
      <c r="D65" s="51"/>
      <c r="E65" s="49">
        <v>172.899</v>
      </c>
      <c r="F65" s="49"/>
      <c r="G65" s="52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0" s="53" customFormat="1" ht="15.75" customHeight="1" x14ac:dyDescent="0.25">
      <c r="A66" s="62">
        <v>1979</v>
      </c>
      <c r="B66" s="50"/>
      <c r="C66" s="51"/>
      <c r="D66" s="51"/>
      <c r="E66" s="49">
        <v>172.899</v>
      </c>
      <c r="F66" s="49"/>
      <c r="G66" s="52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</row>
    <row r="67" spans="1:20" s="53" customFormat="1" ht="15.75" customHeight="1" x14ac:dyDescent="0.25">
      <c r="A67" s="62">
        <v>1980</v>
      </c>
      <c r="B67" s="50"/>
      <c r="C67" s="51"/>
      <c r="D67" s="51"/>
      <c r="E67" s="49">
        <v>172.899</v>
      </c>
      <c r="F67" s="49"/>
      <c r="G67" s="52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</row>
    <row r="68" spans="1:20" s="53" customFormat="1" ht="15.75" customHeight="1" x14ac:dyDescent="0.25">
      <c r="A68" s="62">
        <v>1981</v>
      </c>
      <c r="B68" s="50"/>
      <c r="C68" s="51"/>
      <c r="D68" s="51"/>
      <c r="E68" s="49">
        <v>172.899</v>
      </c>
      <c r="F68" s="49"/>
      <c r="G68" s="52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1:20" s="53" customFormat="1" ht="15.75" customHeight="1" x14ac:dyDescent="0.25">
      <c r="A69" s="62">
        <v>1982</v>
      </c>
      <c r="B69" s="50"/>
      <c r="C69" s="51"/>
      <c r="D69" s="51"/>
      <c r="E69" s="49">
        <v>172.899</v>
      </c>
      <c r="F69" s="49"/>
      <c r="G69" s="52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0</v>
      </c>
      <c r="T69" s="49">
        <v>0</v>
      </c>
    </row>
    <row r="70" spans="1:20" s="53" customFormat="1" ht="15.75" customHeight="1" x14ac:dyDescent="0.25">
      <c r="A70" s="62">
        <v>1983</v>
      </c>
      <c r="B70" s="50">
        <v>12</v>
      </c>
      <c r="C70" s="51">
        <f t="shared" si="4"/>
        <v>5</v>
      </c>
      <c r="D70" s="51">
        <f t="shared" si="5"/>
        <v>60</v>
      </c>
      <c r="E70" s="49">
        <v>172.899</v>
      </c>
      <c r="F70" s="49">
        <f t="shared" si="6"/>
        <v>34.579799999999999</v>
      </c>
      <c r="G70" s="52">
        <f t="shared" si="7"/>
        <v>2.8918617227398656E-2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30</v>
      </c>
      <c r="T70" s="49">
        <v>30</v>
      </c>
    </row>
    <row r="71" spans="1:20" s="53" customFormat="1" ht="15.75" customHeight="1" x14ac:dyDescent="0.25">
      <c r="A71" s="62">
        <v>1984</v>
      </c>
      <c r="B71" s="50">
        <v>12</v>
      </c>
      <c r="C71" s="51">
        <f t="shared" si="4"/>
        <v>7</v>
      </c>
      <c r="D71" s="51">
        <f t="shared" si="5"/>
        <v>84</v>
      </c>
      <c r="E71" s="49">
        <v>172.899</v>
      </c>
      <c r="F71" s="49">
        <f t="shared" si="6"/>
        <v>24.699857142857145</v>
      </c>
      <c r="G71" s="52">
        <f t="shared" si="7"/>
        <v>4.0486064118358117E-2</v>
      </c>
      <c r="I71" s="49">
        <v>30</v>
      </c>
      <c r="J71" s="49">
        <v>30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94">
        <v>12</v>
      </c>
      <c r="T71" s="94">
        <v>12</v>
      </c>
    </row>
    <row r="72" spans="1:20" s="53" customFormat="1" ht="15.75" customHeight="1" x14ac:dyDescent="0.25">
      <c r="A72" s="62">
        <v>1985</v>
      </c>
      <c r="B72" s="50">
        <v>12</v>
      </c>
      <c r="C72" s="51">
        <f t="shared" si="4"/>
        <v>4</v>
      </c>
      <c r="D72" s="51">
        <f t="shared" si="5"/>
        <v>48</v>
      </c>
      <c r="E72" s="49">
        <v>172.899</v>
      </c>
      <c r="F72" s="49">
        <f t="shared" si="6"/>
        <v>43.22475</v>
      </c>
      <c r="G72" s="52">
        <f t="shared" si="7"/>
        <v>2.3134893781918922E-2</v>
      </c>
      <c r="I72" s="49">
        <v>12</v>
      </c>
      <c r="J72" s="94">
        <v>12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94">
        <v>12</v>
      </c>
      <c r="T72" s="94">
        <v>12</v>
      </c>
    </row>
    <row r="73" spans="1:20" s="53" customFormat="1" ht="15.75" customHeight="1" x14ac:dyDescent="0.25">
      <c r="A73" s="62">
        <v>1986</v>
      </c>
      <c r="B73" s="50">
        <v>12</v>
      </c>
      <c r="C73" s="51">
        <f t="shared" si="4"/>
        <v>5.75</v>
      </c>
      <c r="D73" s="51">
        <f t="shared" si="5"/>
        <v>69</v>
      </c>
      <c r="E73" s="49">
        <v>172.899</v>
      </c>
      <c r="F73" s="49">
        <f t="shared" si="6"/>
        <v>30.069391304347825</v>
      </c>
      <c r="G73" s="52">
        <f t="shared" si="7"/>
        <v>3.3256409811508451E-2</v>
      </c>
      <c r="I73" s="49">
        <v>12</v>
      </c>
      <c r="J73" s="49">
        <v>12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94">
        <v>22.5</v>
      </c>
      <c r="T73" s="94">
        <v>22.5</v>
      </c>
    </row>
    <row r="74" spans="1:20" s="53" customFormat="1" ht="15.75" customHeight="1" x14ac:dyDescent="0.25">
      <c r="A74" s="62">
        <v>1987</v>
      </c>
      <c r="B74" s="50">
        <v>12</v>
      </c>
      <c r="C74" s="51">
        <f t="shared" si="4"/>
        <v>3.75</v>
      </c>
      <c r="D74" s="51">
        <f t="shared" si="5"/>
        <v>45</v>
      </c>
      <c r="E74" s="49">
        <v>172.899</v>
      </c>
      <c r="F74" s="49">
        <f t="shared" si="6"/>
        <v>46.106400000000001</v>
      </c>
      <c r="G74" s="52">
        <f t="shared" si="7"/>
        <v>2.168896292054899E-2</v>
      </c>
      <c r="I74" s="49">
        <v>22.5</v>
      </c>
      <c r="J74" s="94">
        <v>22.5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94"/>
      <c r="T74" s="49"/>
    </row>
    <row r="75" spans="1:20" s="53" customFormat="1" ht="15.75" customHeight="1" x14ac:dyDescent="0.25">
      <c r="A75" s="62">
        <v>1988</v>
      </c>
      <c r="B75" s="50">
        <v>12</v>
      </c>
      <c r="C75" s="51">
        <f t="shared" si="4"/>
        <v>3.75</v>
      </c>
      <c r="D75" s="51">
        <f t="shared" si="5"/>
        <v>45</v>
      </c>
      <c r="E75" s="49">
        <v>172.899</v>
      </c>
      <c r="F75" s="49">
        <f t="shared" si="6"/>
        <v>46.106400000000001</v>
      </c>
      <c r="G75" s="52">
        <f t="shared" si="7"/>
        <v>2.168896292054899E-2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94">
        <v>22.5</v>
      </c>
      <c r="T75" s="94">
        <v>22.5</v>
      </c>
    </row>
    <row r="76" spans="1:20" s="53" customFormat="1" ht="15.75" customHeight="1" x14ac:dyDescent="0.25">
      <c r="A76" s="62">
        <v>1989</v>
      </c>
      <c r="B76" s="50">
        <v>12</v>
      </c>
      <c r="C76" s="51">
        <f t="shared" si="4"/>
        <v>7.5</v>
      </c>
      <c r="D76" s="51">
        <f t="shared" si="5"/>
        <v>90</v>
      </c>
      <c r="E76" s="49">
        <v>172.899</v>
      </c>
      <c r="F76" s="49">
        <f t="shared" si="6"/>
        <v>23.0532</v>
      </c>
      <c r="G76" s="52">
        <f t="shared" si="7"/>
        <v>4.3377925841097981E-2</v>
      </c>
      <c r="I76" s="49">
        <v>22.5</v>
      </c>
      <c r="J76" s="94">
        <v>22.5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94">
        <v>22.5</v>
      </c>
      <c r="T76" s="94">
        <v>22.5</v>
      </c>
    </row>
    <row r="77" spans="1:20" s="53" customFormat="1" ht="15.75" customHeight="1" x14ac:dyDescent="0.25">
      <c r="A77" s="62">
        <v>1990</v>
      </c>
      <c r="B77" s="50">
        <v>12</v>
      </c>
      <c r="C77" s="51">
        <f t="shared" si="4"/>
        <v>7</v>
      </c>
      <c r="D77" s="51">
        <f t="shared" si="5"/>
        <v>84</v>
      </c>
      <c r="E77" s="49">
        <v>172.899</v>
      </c>
      <c r="F77" s="49">
        <f t="shared" si="6"/>
        <v>24.699857142857145</v>
      </c>
      <c r="G77" s="52">
        <f t="shared" si="7"/>
        <v>4.0486064118358117E-2</v>
      </c>
      <c r="I77" s="49">
        <v>22.5</v>
      </c>
      <c r="J77" s="94">
        <v>22.5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94">
        <v>19.5</v>
      </c>
      <c r="T77" s="94">
        <v>19.5</v>
      </c>
    </row>
    <row r="78" spans="1:20" s="53" customFormat="1" ht="15.75" customHeight="1" x14ac:dyDescent="0.25">
      <c r="A78" s="62">
        <v>1991</v>
      </c>
      <c r="B78" s="50">
        <v>12</v>
      </c>
      <c r="C78" s="51">
        <f t="shared" si="4"/>
        <v>5.5</v>
      </c>
      <c r="D78" s="51">
        <f t="shared" si="5"/>
        <v>66</v>
      </c>
      <c r="E78" s="49">
        <v>172.899</v>
      </c>
      <c r="F78" s="49">
        <f t="shared" si="6"/>
        <v>31.436181818181819</v>
      </c>
      <c r="G78" s="52">
        <f t="shared" si="7"/>
        <v>3.181047895013852E-2</v>
      </c>
      <c r="I78" s="49">
        <v>19.5</v>
      </c>
      <c r="J78" s="94">
        <v>19.5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94">
        <v>13.5</v>
      </c>
      <c r="T78" s="94">
        <v>13.5</v>
      </c>
    </row>
    <row r="79" spans="1:20" s="53" customFormat="1" ht="15.75" customHeight="1" x14ac:dyDescent="0.25">
      <c r="A79" s="62">
        <v>1992</v>
      </c>
      <c r="B79" s="50">
        <v>12</v>
      </c>
      <c r="C79" s="51">
        <f t="shared" si="4"/>
        <v>6.5</v>
      </c>
      <c r="D79" s="51">
        <f t="shared" si="5"/>
        <v>78</v>
      </c>
      <c r="E79" s="49">
        <v>172.899</v>
      </c>
      <c r="F79" s="49">
        <f t="shared" si="6"/>
        <v>26.599846153846155</v>
      </c>
      <c r="G79" s="52">
        <f t="shared" si="7"/>
        <v>3.7594202395618254E-2</v>
      </c>
      <c r="I79" s="49">
        <v>13.5</v>
      </c>
      <c r="J79" s="94">
        <v>13.5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94">
        <v>25.5</v>
      </c>
      <c r="T79" s="94">
        <v>25.5</v>
      </c>
    </row>
    <row r="80" spans="1:20" s="53" customFormat="1" ht="15.75" customHeight="1" x14ac:dyDescent="0.25">
      <c r="A80" s="62">
        <v>1993</v>
      </c>
      <c r="B80" s="50">
        <v>12</v>
      </c>
      <c r="C80" s="51">
        <f t="shared" si="4"/>
        <v>8.25</v>
      </c>
      <c r="D80" s="51">
        <f t="shared" si="5"/>
        <v>99</v>
      </c>
      <c r="E80" s="49">
        <v>172.899</v>
      </c>
      <c r="F80" s="49">
        <f t="shared" si="6"/>
        <v>20.957454545454546</v>
      </c>
      <c r="G80" s="52">
        <f t="shared" si="7"/>
        <v>4.7715718425207783E-2</v>
      </c>
      <c r="I80" s="49">
        <v>25.5</v>
      </c>
      <c r="J80" s="94">
        <v>25.5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94">
        <v>24</v>
      </c>
      <c r="T80" s="94">
        <v>24</v>
      </c>
    </row>
    <row r="81" spans="1:20" s="53" customFormat="1" ht="15.75" customHeight="1" x14ac:dyDescent="0.25">
      <c r="A81" s="62">
        <v>1994</v>
      </c>
      <c r="B81" s="50">
        <v>12</v>
      </c>
      <c r="C81" s="51">
        <f t="shared" si="4"/>
        <v>8</v>
      </c>
      <c r="D81" s="51">
        <f t="shared" si="5"/>
        <v>96</v>
      </c>
      <c r="E81" s="49">
        <v>172.899</v>
      </c>
      <c r="F81" s="49">
        <f t="shared" si="6"/>
        <v>21.612375</v>
      </c>
      <c r="G81" s="52">
        <f t="shared" si="7"/>
        <v>4.6269787563837844E-2</v>
      </c>
      <c r="I81" s="49">
        <v>24</v>
      </c>
      <c r="J81" s="94">
        <v>24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94">
        <v>24</v>
      </c>
      <c r="T81" s="94">
        <v>24</v>
      </c>
    </row>
    <row r="82" spans="1:20" s="53" customFormat="1" ht="15.75" customHeight="1" x14ac:dyDescent="0.25">
      <c r="A82" s="62">
        <v>1995</v>
      </c>
      <c r="B82" s="50">
        <v>12</v>
      </c>
      <c r="C82" s="51">
        <f t="shared" si="4"/>
        <v>4</v>
      </c>
      <c r="D82" s="51">
        <f t="shared" si="5"/>
        <v>48</v>
      </c>
      <c r="E82" s="49">
        <v>172.899</v>
      </c>
      <c r="F82" s="49">
        <f t="shared" si="6"/>
        <v>43.22475</v>
      </c>
      <c r="G82" s="52">
        <f t="shared" si="7"/>
        <v>2.3134893781918922E-2</v>
      </c>
      <c r="I82" s="49">
        <v>24</v>
      </c>
      <c r="J82" s="94">
        <v>24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94">
        <v>0</v>
      </c>
      <c r="T82" s="49">
        <v>0</v>
      </c>
    </row>
    <row r="83" spans="1:20" s="53" customFormat="1" ht="15.75" customHeight="1" x14ac:dyDescent="0.25">
      <c r="A83" s="62">
        <v>1996</v>
      </c>
      <c r="B83" s="50">
        <v>12</v>
      </c>
      <c r="C83" s="51">
        <f t="shared" si="4"/>
        <v>0</v>
      </c>
      <c r="D83" s="51">
        <f t="shared" si="5"/>
        <v>0</v>
      </c>
      <c r="E83" s="49">
        <v>172.899</v>
      </c>
      <c r="F83" s="49" t="e">
        <f t="shared" si="6"/>
        <v>#DIV/0!</v>
      </c>
      <c r="G83" s="52">
        <f t="shared" si="7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94">
        <v>0</v>
      </c>
      <c r="T83" s="49">
        <v>0</v>
      </c>
    </row>
    <row r="84" spans="1:20" s="53" customFormat="1" ht="15.75" customHeight="1" x14ac:dyDescent="0.25">
      <c r="A84" s="62">
        <v>1997</v>
      </c>
      <c r="B84" s="50">
        <v>12</v>
      </c>
      <c r="C84" s="51">
        <f t="shared" si="4"/>
        <v>0</v>
      </c>
      <c r="D84" s="51">
        <f t="shared" si="5"/>
        <v>0</v>
      </c>
      <c r="E84" s="49">
        <v>172.899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94">
        <v>0</v>
      </c>
      <c r="T84" s="49">
        <v>0</v>
      </c>
    </row>
    <row r="85" spans="1:20" s="53" customFormat="1" ht="15.75" customHeight="1" x14ac:dyDescent="0.25">
      <c r="A85" s="62">
        <v>1998</v>
      </c>
      <c r="B85" s="50">
        <v>12</v>
      </c>
      <c r="C85" s="51">
        <f t="shared" si="4"/>
        <v>0</v>
      </c>
      <c r="D85" s="51">
        <f t="shared" si="5"/>
        <v>0</v>
      </c>
      <c r="E85" s="49">
        <v>172.899</v>
      </c>
      <c r="F85" s="49" t="e">
        <f t="shared" si="6"/>
        <v>#DIV/0!</v>
      </c>
      <c r="G85" s="52">
        <f t="shared" si="7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94">
        <v>0</v>
      </c>
      <c r="T85" s="49">
        <v>0</v>
      </c>
    </row>
    <row r="86" spans="1:20" s="53" customFormat="1" ht="15.75" customHeight="1" x14ac:dyDescent="0.25">
      <c r="A86" s="62">
        <v>1999</v>
      </c>
      <c r="B86" s="50">
        <v>12</v>
      </c>
      <c r="C86" s="51">
        <f t="shared" si="4"/>
        <v>0</v>
      </c>
      <c r="D86" s="51">
        <f t="shared" si="5"/>
        <v>0</v>
      </c>
      <c r="E86" s="49">
        <v>172.899</v>
      </c>
      <c r="F86" s="49" t="e">
        <f t="shared" si="6"/>
        <v>#DIV/0!</v>
      </c>
      <c r="G86" s="52">
        <f t="shared" si="7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94">
        <v>0</v>
      </c>
      <c r="T86" s="49">
        <v>0</v>
      </c>
    </row>
    <row r="87" spans="1:20" s="53" customFormat="1" ht="15.75" customHeight="1" x14ac:dyDescent="0.25">
      <c r="A87" s="62">
        <v>2000</v>
      </c>
      <c r="B87" s="50">
        <v>12</v>
      </c>
      <c r="C87" s="51">
        <f t="shared" ref="C87:C97" si="8">D87/B87</f>
        <v>0</v>
      </c>
      <c r="D87" s="51">
        <f t="shared" ref="D87:D97" si="9">SUM(I87:T87)</f>
        <v>0</v>
      </c>
      <c r="E87" s="49">
        <v>172.899</v>
      </c>
      <c r="F87" s="49" t="e">
        <f t="shared" ref="F87:F97" si="10">E87/C87</f>
        <v>#DIV/0!</v>
      </c>
      <c r="G87" s="52">
        <f t="shared" ref="G87:G97" si="11">C87/E87</f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94">
        <v>0</v>
      </c>
      <c r="T87" s="49">
        <v>0</v>
      </c>
    </row>
    <row r="88" spans="1:20" s="53" customFormat="1" ht="15.75" customHeight="1" x14ac:dyDescent="0.25">
      <c r="A88" s="62">
        <v>2001</v>
      </c>
      <c r="B88" s="50">
        <v>12</v>
      </c>
      <c r="C88" s="51">
        <f t="shared" si="8"/>
        <v>0</v>
      </c>
      <c r="D88" s="51">
        <f t="shared" si="9"/>
        <v>0</v>
      </c>
      <c r="E88" s="49">
        <v>172.899</v>
      </c>
      <c r="F88" s="49" t="e">
        <f t="shared" si="10"/>
        <v>#DIV/0!</v>
      </c>
      <c r="G88" s="52">
        <f t="shared" si="11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94">
        <v>0</v>
      </c>
      <c r="T88" s="49">
        <v>0</v>
      </c>
    </row>
    <row r="89" spans="1:20" s="53" customFormat="1" ht="15.75" customHeight="1" x14ac:dyDescent="0.25">
      <c r="A89" s="62">
        <v>2002</v>
      </c>
      <c r="B89" s="50">
        <v>12</v>
      </c>
      <c r="C89" s="51">
        <f t="shared" si="8"/>
        <v>0</v>
      </c>
      <c r="D89" s="51">
        <f t="shared" si="9"/>
        <v>0</v>
      </c>
      <c r="E89" s="49">
        <v>172.899</v>
      </c>
      <c r="F89" s="49" t="e">
        <f t="shared" si="10"/>
        <v>#DIV/0!</v>
      </c>
      <c r="G89" s="52">
        <f t="shared" si="11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94">
        <v>0</v>
      </c>
      <c r="T89" s="49">
        <v>0</v>
      </c>
    </row>
    <row r="90" spans="1:20" s="53" customFormat="1" ht="15.75" customHeight="1" x14ac:dyDescent="0.25">
      <c r="A90" s="62">
        <v>2003</v>
      </c>
      <c r="B90" s="50">
        <v>12</v>
      </c>
      <c r="C90" s="51">
        <f t="shared" si="8"/>
        <v>0</v>
      </c>
      <c r="D90" s="51">
        <f t="shared" si="9"/>
        <v>0</v>
      </c>
      <c r="E90" s="49">
        <v>172.899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94">
        <v>0</v>
      </c>
      <c r="T90" s="49">
        <v>0</v>
      </c>
    </row>
    <row r="91" spans="1:20" s="53" customFormat="1" ht="15.75" customHeight="1" x14ac:dyDescent="0.25">
      <c r="A91" s="62">
        <v>2004</v>
      </c>
      <c r="B91" s="50">
        <v>12</v>
      </c>
      <c r="C91" s="51">
        <f t="shared" si="8"/>
        <v>0</v>
      </c>
      <c r="D91" s="51">
        <f t="shared" si="9"/>
        <v>0</v>
      </c>
      <c r="E91" s="49">
        <v>172.899</v>
      </c>
      <c r="F91" s="49" t="e">
        <f t="shared" si="10"/>
        <v>#DIV/0!</v>
      </c>
      <c r="G91" s="52">
        <f t="shared" si="11"/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94">
        <v>0</v>
      </c>
      <c r="T91" s="49">
        <v>0</v>
      </c>
    </row>
    <row r="92" spans="1:20" s="53" customFormat="1" ht="15.75" customHeight="1" x14ac:dyDescent="0.25">
      <c r="A92" s="62">
        <v>2005</v>
      </c>
      <c r="B92" s="50">
        <v>12</v>
      </c>
      <c r="C92" s="51">
        <f t="shared" si="8"/>
        <v>0</v>
      </c>
      <c r="D92" s="51">
        <f t="shared" si="9"/>
        <v>0</v>
      </c>
      <c r="E92" s="49">
        <v>172.899</v>
      </c>
      <c r="F92" s="49" t="e">
        <f t="shared" si="10"/>
        <v>#DIV/0!</v>
      </c>
      <c r="G92" s="52">
        <f t="shared" si="11"/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94">
        <v>0</v>
      </c>
      <c r="T92" s="49">
        <v>0</v>
      </c>
    </row>
    <row r="93" spans="1:20" s="53" customFormat="1" ht="15.75" customHeight="1" x14ac:dyDescent="0.25">
      <c r="A93" s="62">
        <v>2006</v>
      </c>
      <c r="B93" s="50">
        <v>12</v>
      </c>
      <c r="C93" s="51">
        <f t="shared" si="8"/>
        <v>0</v>
      </c>
      <c r="D93" s="51">
        <f t="shared" si="9"/>
        <v>0</v>
      </c>
      <c r="E93" s="49">
        <v>172.899</v>
      </c>
      <c r="F93" s="49" t="e">
        <f t="shared" si="10"/>
        <v>#DIV/0!</v>
      </c>
      <c r="G93" s="52">
        <f t="shared" si="11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94">
        <v>0</v>
      </c>
      <c r="T93" s="49">
        <v>0</v>
      </c>
    </row>
    <row r="94" spans="1:20" s="53" customFormat="1" ht="15.75" customHeight="1" x14ac:dyDescent="0.25">
      <c r="A94" s="62">
        <v>2007</v>
      </c>
      <c r="B94" s="50">
        <v>12</v>
      </c>
      <c r="C94" s="51">
        <f t="shared" si="8"/>
        <v>0</v>
      </c>
      <c r="D94" s="51">
        <f t="shared" si="9"/>
        <v>0</v>
      </c>
      <c r="E94" s="49">
        <v>172.899</v>
      </c>
      <c r="F94" s="49" t="e">
        <f t="shared" si="10"/>
        <v>#DIV/0!</v>
      </c>
      <c r="G94" s="52">
        <f t="shared" si="11"/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94">
        <v>0</v>
      </c>
      <c r="T94" s="49">
        <v>0</v>
      </c>
    </row>
    <row r="95" spans="1:20" s="53" customFormat="1" ht="15.75" customHeight="1" x14ac:dyDescent="0.25">
      <c r="A95" s="62">
        <v>2008</v>
      </c>
      <c r="B95" s="50">
        <v>12</v>
      </c>
      <c r="C95" s="51">
        <f t="shared" si="8"/>
        <v>0</v>
      </c>
      <c r="D95" s="51">
        <f t="shared" si="9"/>
        <v>0</v>
      </c>
      <c r="E95" s="49">
        <v>172.899</v>
      </c>
      <c r="F95" s="49" t="e">
        <f t="shared" si="10"/>
        <v>#DIV/0!</v>
      </c>
      <c r="G95" s="52">
        <f t="shared" si="11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94">
        <v>0</v>
      </c>
      <c r="T95" s="49">
        <v>0</v>
      </c>
    </row>
    <row r="96" spans="1:20" s="53" customFormat="1" ht="15.75" customHeight="1" x14ac:dyDescent="0.25">
      <c r="A96" s="62">
        <v>2009</v>
      </c>
      <c r="B96" s="50">
        <v>12</v>
      </c>
      <c r="C96" s="51">
        <f t="shared" si="8"/>
        <v>0</v>
      </c>
      <c r="D96" s="51">
        <f t="shared" si="9"/>
        <v>0</v>
      </c>
      <c r="E96" s="49">
        <v>172.899</v>
      </c>
      <c r="F96" s="49" t="e">
        <f t="shared" si="10"/>
        <v>#DIV/0!</v>
      </c>
      <c r="G96" s="52">
        <f t="shared" si="11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94">
        <v>0</v>
      </c>
      <c r="T96" s="49">
        <v>0</v>
      </c>
    </row>
    <row r="97" spans="1:20" s="53" customFormat="1" ht="15.75" customHeight="1" x14ac:dyDescent="0.25">
      <c r="A97" s="62">
        <v>2010</v>
      </c>
      <c r="B97" s="50">
        <v>12</v>
      </c>
      <c r="C97" s="51">
        <f t="shared" si="8"/>
        <v>0</v>
      </c>
      <c r="D97" s="51">
        <f t="shared" si="9"/>
        <v>0</v>
      </c>
      <c r="E97" s="49">
        <v>172.899</v>
      </c>
      <c r="F97" s="49" t="e">
        <f t="shared" si="10"/>
        <v>#DIV/0!</v>
      </c>
      <c r="G97" s="52">
        <f t="shared" si="11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94">
        <v>0</v>
      </c>
      <c r="T97" s="49">
        <v>0</v>
      </c>
    </row>
    <row r="98" spans="1:20" s="53" customFormat="1" ht="15.75" customHeight="1" x14ac:dyDescent="0.25">
      <c r="A98" s="62">
        <v>2011</v>
      </c>
      <c r="B98" s="50">
        <v>12</v>
      </c>
      <c r="C98" s="51">
        <f t="shared" ref="C98:C107" si="12">D98/B98</f>
        <v>0</v>
      </c>
      <c r="D98" s="51">
        <f t="shared" ref="D98:D107" si="13">SUM(I98:T98)</f>
        <v>0</v>
      </c>
      <c r="E98" s="49">
        <v>172.899</v>
      </c>
      <c r="F98" s="49" t="e">
        <f t="shared" ref="F98:F107" si="14">E98/C98</f>
        <v>#DIV/0!</v>
      </c>
      <c r="G98" s="52">
        <f t="shared" ref="G98:G107" si="15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62">
        <v>2012</v>
      </c>
      <c r="B99" s="50">
        <v>12</v>
      </c>
      <c r="C99" s="51">
        <f t="shared" si="12"/>
        <v>0</v>
      </c>
      <c r="D99" s="51">
        <f t="shared" si="13"/>
        <v>0</v>
      </c>
      <c r="E99" s="49">
        <v>172.899</v>
      </c>
      <c r="F99" s="49" t="e">
        <f t="shared" si="14"/>
        <v>#DIV/0!</v>
      </c>
      <c r="G99" s="52">
        <f t="shared" si="15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62">
        <v>2013</v>
      </c>
      <c r="B100" s="50">
        <v>12</v>
      </c>
      <c r="C100" s="51">
        <f t="shared" si="12"/>
        <v>5.416666666666667</v>
      </c>
      <c r="D100" s="51">
        <f t="shared" si="13"/>
        <v>65</v>
      </c>
      <c r="E100" s="49">
        <v>172.899</v>
      </c>
      <c r="F100" s="49">
        <f t="shared" si="14"/>
        <v>31.919815384615383</v>
      </c>
      <c r="G100" s="52">
        <f t="shared" si="15"/>
        <v>3.1328501996348547E-2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65</v>
      </c>
      <c r="S100" s="49">
        <v>0</v>
      </c>
      <c r="T100" s="49">
        <v>0</v>
      </c>
    </row>
    <row r="101" spans="1:20" s="53" customFormat="1" ht="15.75" customHeight="1" x14ac:dyDescent="0.25">
      <c r="A101" s="62">
        <v>2014</v>
      </c>
      <c r="B101" s="50">
        <v>12</v>
      </c>
      <c r="C101" s="51">
        <f t="shared" si="12"/>
        <v>0</v>
      </c>
      <c r="D101" s="51">
        <f t="shared" si="13"/>
        <v>0</v>
      </c>
      <c r="E101" s="49">
        <v>172.899</v>
      </c>
      <c r="F101" s="49" t="e">
        <f t="shared" si="14"/>
        <v>#DIV/0!</v>
      </c>
      <c r="G101" s="52">
        <f t="shared" si="15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62">
        <v>2015</v>
      </c>
      <c r="B102" s="50">
        <v>12</v>
      </c>
      <c r="C102" s="51">
        <f t="shared" si="12"/>
        <v>0</v>
      </c>
      <c r="D102" s="51">
        <f t="shared" si="13"/>
        <v>0</v>
      </c>
      <c r="E102" s="49">
        <v>172.899</v>
      </c>
      <c r="F102" s="49" t="e">
        <f t="shared" si="14"/>
        <v>#DIV/0!</v>
      </c>
      <c r="G102" s="52">
        <f t="shared" si="15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62">
        <v>2016</v>
      </c>
      <c r="B103" s="50">
        <v>12</v>
      </c>
      <c r="C103" s="51">
        <f t="shared" si="12"/>
        <v>0</v>
      </c>
      <c r="D103" s="51">
        <f t="shared" si="13"/>
        <v>0</v>
      </c>
      <c r="E103" s="49">
        <v>172.899</v>
      </c>
      <c r="F103" s="49" t="e">
        <f t="shared" si="14"/>
        <v>#DIV/0!</v>
      </c>
      <c r="G103" s="52">
        <f t="shared" si="15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62">
        <v>2017</v>
      </c>
      <c r="B104" s="50">
        <v>12</v>
      </c>
      <c r="C104" s="51">
        <f t="shared" si="12"/>
        <v>1.375</v>
      </c>
      <c r="D104" s="51">
        <f t="shared" si="13"/>
        <v>16.5</v>
      </c>
      <c r="E104" s="49">
        <v>172.899</v>
      </c>
      <c r="F104" s="49">
        <f t="shared" si="14"/>
        <v>125.74472727272727</v>
      </c>
      <c r="G104" s="52">
        <f t="shared" si="15"/>
        <v>7.9526197375346299E-3</v>
      </c>
      <c r="I104" s="49">
        <v>0</v>
      </c>
      <c r="J104" s="49">
        <v>16.5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62">
        <v>2018</v>
      </c>
      <c r="B105" s="50">
        <v>12</v>
      </c>
      <c r="C105" s="51">
        <f t="shared" si="12"/>
        <v>4.8333333333333332E-2</v>
      </c>
      <c r="D105" s="51">
        <f t="shared" si="13"/>
        <v>0.57999999999999996</v>
      </c>
      <c r="E105" s="49">
        <v>172.899</v>
      </c>
      <c r="F105" s="49">
        <f t="shared" si="14"/>
        <v>3577.2206896551725</v>
      </c>
      <c r="G105" s="52">
        <f t="shared" si="15"/>
        <v>2.7954663319818701E-4</v>
      </c>
      <c r="I105" s="49">
        <v>0</v>
      </c>
      <c r="J105" s="49">
        <v>0</v>
      </c>
      <c r="K105" s="49">
        <v>0</v>
      </c>
      <c r="L105" s="49">
        <v>0</v>
      </c>
      <c r="M105" s="49">
        <v>0.57999999999999996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62">
        <v>2019</v>
      </c>
      <c r="B106" s="50">
        <v>12</v>
      </c>
      <c r="C106" s="51">
        <f t="shared" si="12"/>
        <v>4.7333333333333334</v>
      </c>
      <c r="D106" s="51">
        <f t="shared" si="13"/>
        <v>56.8</v>
      </c>
      <c r="E106" s="49">
        <v>172.899</v>
      </c>
      <c r="F106" s="49">
        <f t="shared" si="14"/>
        <v>36.527957746478876</v>
      </c>
      <c r="G106" s="52">
        <f t="shared" si="15"/>
        <v>2.7376290975270726E-2</v>
      </c>
      <c r="I106" s="49">
        <v>0</v>
      </c>
      <c r="J106" s="49">
        <v>0</v>
      </c>
      <c r="K106" s="49">
        <v>56.8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62">
        <v>2020</v>
      </c>
      <c r="B107" s="50">
        <v>12</v>
      </c>
      <c r="C107" s="51">
        <f t="shared" si="12"/>
        <v>0</v>
      </c>
      <c r="D107" s="51">
        <f t="shared" si="13"/>
        <v>0</v>
      </c>
      <c r="E107" s="49">
        <v>172.899</v>
      </c>
      <c r="F107" s="49" t="e">
        <f t="shared" si="14"/>
        <v>#DIV/0!</v>
      </c>
      <c r="G107" s="52">
        <f t="shared" si="15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62">
        <v>2021</v>
      </c>
      <c r="B108" s="50">
        <v>12</v>
      </c>
      <c r="C108" s="51">
        <f t="shared" ref="C108" si="16">D108/B108</f>
        <v>0</v>
      </c>
      <c r="D108" s="51">
        <f t="shared" ref="D108" si="17">SUM(I108:T108)</f>
        <v>0</v>
      </c>
      <c r="E108" s="49">
        <v>172.899</v>
      </c>
      <c r="F108" s="49" t="e">
        <f t="shared" ref="F108" si="18">E108/C108</f>
        <v>#DIV/0!</v>
      </c>
      <c r="G108" s="52">
        <f t="shared" ref="G108" si="19">C108/E108</f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62">
        <v>2022</v>
      </c>
      <c r="B109" s="50">
        <v>12</v>
      </c>
      <c r="C109" s="51">
        <f t="shared" ref="C109" si="20">D109/B109</f>
        <v>0</v>
      </c>
      <c r="D109" s="51">
        <f t="shared" ref="D109" si="21">SUM(I109:T109)</f>
        <v>0</v>
      </c>
      <c r="E109" s="49">
        <v>172.899</v>
      </c>
      <c r="F109" s="49" t="e">
        <f t="shared" ref="F109" si="22">E109/C109</f>
        <v>#DIV/0!</v>
      </c>
      <c r="G109" s="52">
        <f t="shared" ref="G109" si="23">C109/E109</f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ht="15.75" customHeight="1" x14ac:dyDescent="0.25">
      <c r="A110" s="62">
        <v>2023</v>
      </c>
      <c r="B110" s="50">
        <v>12</v>
      </c>
      <c r="C110" s="51">
        <f t="shared" ref="C110" si="24">D110/B110</f>
        <v>0</v>
      </c>
      <c r="D110" s="51">
        <f t="shared" ref="D110" si="25">SUM(I110:T110)</f>
        <v>0</v>
      </c>
      <c r="E110" s="49">
        <v>172.899</v>
      </c>
      <c r="F110" s="49" t="e">
        <f t="shared" ref="F110" si="26">E110/C110</f>
        <v>#DIV/0!</v>
      </c>
      <c r="G110" s="52">
        <f t="shared" ref="G110" si="27">C110/E110</f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ht="15.75" customHeight="1" x14ac:dyDescent="0.25">
      <c r="A111" s="62">
        <v>2024</v>
      </c>
      <c r="B111" s="50">
        <v>12</v>
      </c>
      <c r="C111" s="51">
        <f t="shared" ref="C111" si="28">D111/B111</f>
        <v>8.043010752688172</v>
      </c>
      <c r="D111" s="51">
        <f t="shared" ref="D111" si="29">SUM(I111:T111)</f>
        <v>96.516129032258064</v>
      </c>
      <c r="E111" s="49">
        <v>172.899</v>
      </c>
      <c r="F111" s="49">
        <f t="shared" ref="F111" si="30">E111/C111</f>
        <v>21.496800802139038</v>
      </c>
      <c r="G111" s="52">
        <f t="shared" ref="G111" si="31">C111/E111</f>
        <v>4.6518549862568155E-2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96.516129032258064</v>
      </c>
      <c r="S111" s="49">
        <v>0</v>
      </c>
      <c r="T111" s="49">
        <v>0</v>
      </c>
    </row>
    <row r="112" spans="1:20" ht="15.75" customHeight="1" x14ac:dyDescent="0.25">
      <c r="A112" s="16">
        <v>2025</v>
      </c>
      <c r="B112" s="9">
        <v>12</v>
      </c>
      <c r="C112" s="51">
        <f t="shared" ref="C112" si="32">D112/B112</f>
        <v>0</v>
      </c>
      <c r="D112" s="51">
        <f t="shared" ref="D112" si="33">SUM(I112:T112)</f>
        <v>0</v>
      </c>
      <c r="E112" s="49">
        <v>172.899</v>
      </c>
      <c r="F112" s="49" t="e">
        <f t="shared" ref="F112" si="34">E112/C112</f>
        <v>#DIV/0!</v>
      </c>
      <c r="G112" s="52">
        <f t="shared" ref="G112" si="35">C112/E112</f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1.1093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5546875" style="56" customWidth="1"/>
    <col min="18" max="18" width="9.88671875" style="56" customWidth="1"/>
    <col min="19" max="19" width="12" style="56" customWidth="1"/>
    <col min="20" max="20" width="11.6640625" style="56" customWidth="1"/>
    <col min="21" max="16384" width="9.109375" style="40"/>
  </cols>
  <sheetData>
    <row r="1" spans="1:20" ht="15" x14ac:dyDescent="0.25">
      <c r="A1" s="120" t="s">
        <v>36</v>
      </c>
      <c r="B1" s="120"/>
      <c r="C1" s="120"/>
      <c r="D1" s="120"/>
      <c r="E1" s="120"/>
      <c r="F1" s="120"/>
      <c r="G1" s="120"/>
      <c r="I1" s="128" t="s">
        <v>14</v>
      </c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22" si="0">D4/B4</f>
        <v>273</v>
      </c>
      <c r="D4" s="51">
        <f t="shared" ref="D4:D22" si="1">SUM(I4:T4)</f>
        <v>3276</v>
      </c>
      <c r="E4" s="49">
        <v>3108.65</v>
      </c>
      <c r="F4" s="49">
        <f t="shared" ref="F4:F22" si="2">E4/C4</f>
        <v>11.386996336996337</v>
      </c>
      <c r="G4" s="52">
        <f t="shared" ref="G4:G22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>D23/B23</f>
        <v>252.95833333333337</v>
      </c>
      <c r="D23" s="51">
        <f>SUM(I23:T23)</f>
        <v>3035.5000000000005</v>
      </c>
      <c r="E23" s="49">
        <v>3108.65</v>
      </c>
      <c r="F23" s="49">
        <f>E23/C23</f>
        <v>12.289178059627737</v>
      </c>
      <c r="G23" s="52">
        <f>C23/E23</f>
        <v>8.1372407100617106E-2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91.8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ref="C24:C87" si="4">D24/B24</f>
        <v>85.633333333333326</v>
      </c>
      <c r="D24" s="51">
        <f t="shared" ref="D24:D87" si="5">SUM(I24:T24)</f>
        <v>1027.5999999999999</v>
      </c>
      <c r="E24" s="49">
        <v>1479.89</v>
      </c>
      <c r="F24" s="49">
        <f t="shared" ref="F24:F87" si="6">E24/C24</f>
        <v>17.281704943557806</v>
      </c>
      <c r="G24" s="52">
        <f t="shared" ref="G24:G87" si="7">C24/E24</f>
        <v>5.7864661112199775E-2</v>
      </c>
      <c r="I24" s="49">
        <v>84.6</v>
      </c>
      <c r="J24" s="49">
        <v>80</v>
      </c>
      <c r="K24" s="49">
        <v>80</v>
      </c>
      <c r="L24" s="49">
        <v>87</v>
      </c>
      <c r="M24" s="49">
        <v>87</v>
      </c>
      <c r="N24" s="49">
        <v>87</v>
      </c>
      <c r="O24" s="49">
        <v>87</v>
      </c>
      <c r="P24" s="49">
        <v>87</v>
      </c>
      <c r="Q24" s="49">
        <v>87</v>
      </c>
      <c r="R24" s="49">
        <v>87</v>
      </c>
      <c r="S24" s="49">
        <v>87</v>
      </c>
      <c r="T24" s="49">
        <v>87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4"/>
        <v>78.783333333333346</v>
      </c>
      <c r="D25" s="51">
        <f t="shared" si="5"/>
        <v>945.40000000000009</v>
      </c>
      <c r="E25" s="49">
        <v>1479.89</v>
      </c>
      <c r="F25" s="49">
        <f t="shared" si="6"/>
        <v>18.784302940554262</v>
      </c>
      <c r="G25" s="52">
        <f t="shared" si="7"/>
        <v>5.323593870715617E-2</v>
      </c>
      <c r="I25" s="49">
        <v>85.5</v>
      </c>
      <c r="J25" s="49">
        <v>85</v>
      </c>
      <c r="K25" s="49">
        <v>85.3</v>
      </c>
      <c r="L25" s="49">
        <v>86</v>
      </c>
      <c r="M25" s="49">
        <v>86</v>
      </c>
      <c r="N25" s="49">
        <v>85.4</v>
      </c>
      <c r="O25" s="49">
        <v>92.6</v>
      </c>
      <c r="P25" s="49">
        <v>95</v>
      </c>
      <c r="Q25" s="49">
        <v>95</v>
      </c>
      <c r="R25" s="49">
        <v>93.9</v>
      </c>
      <c r="S25" s="49">
        <v>44</v>
      </c>
      <c r="T25" s="49">
        <v>11.7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4"/>
        <v>5.6833333333333336</v>
      </c>
      <c r="D26" s="51">
        <f t="shared" si="5"/>
        <v>68.2</v>
      </c>
      <c r="E26" s="49">
        <v>1479.89</v>
      </c>
      <c r="F26" s="49">
        <f t="shared" si="6"/>
        <v>260.39120234604104</v>
      </c>
      <c r="G26" s="52">
        <f t="shared" si="7"/>
        <v>3.8403755234060187E-3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</v>
      </c>
      <c r="Q26" s="49">
        <v>5</v>
      </c>
      <c r="R26" s="49">
        <v>5</v>
      </c>
      <c r="S26" s="49">
        <v>10</v>
      </c>
      <c r="T26" s="49">
        <v>46.2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4"/>
        <v>54.133333333333333</v>
      </c>
      <c r="D27" s="51">
        <f t="shared" si="5"/>
        <v>649.6</v>
      </c>
      <c r="E27" s="49">
        <v>1479.89</v>
      </c>
      <c r="F27" s="49">
        <f t="shared" si="6"/>
        <v>27.337869458128083</v>
      </c>
      <c r="G27" s="52">
        <f t="shared" si="7"/>
        <v>3.6579295307984601E-2</v>
      </c>
      <c r="I27" s="49">
        <v>56</v>
      </c>
      <c r="J27" s="49">
        <v>56</v>
      </c>
      <c r="K27" s="49">
        <v>55</v>
      </c>
      <c r="L27" s="49">
        <v>56</v>
      </c>
      <c r="M27" s="49">
        <v>56</v>
      </c>
      <c r="N27" s="49">
        <v>56</v>
      </c>
      <c r="O27" s="49">
        <v>51.6</v>
      </c>
      <c r="P27" s="49">
        <v>51</v>
      </c>
      <c r="Q27" s="49">
        <v>51</v>
      </c>
      <c r="R27" s="49">
        <v>53</v>
      </c>
      <c r="S27" s="49">
        <v>54</v>
      </c>
      <c r="T27" s="49">
        <v>54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4"/>
        <v>52.291666666666664</v>
      </c>
      <c r="D28" s="51">
        <f t="shared" si="5"/>
        <v>627.5</v>
      </c>
      <c r="E28" s="49">
        <v>1479.89</v>
      </c>
      <c r="F28" s="49">
        <f t="shared" si="6"/>
        <v>28.300685258964148</v>
      </c>
      <c r="G28" s="52">
        <f t="shared" si="7"/>
        <v>3.5334833444828101E-2</v>
      </c>
      <c r="I28" s="49">
        <v>54</v>
      </c>
      <c r="J28" s="49">
        <v>54</v>
      </c>
      <c r="K28" s="49">
        <v>54</v>
      </c>
      <c r="L28" s="49">
        <v>54</v>
      </c>
      <c r="M28" s="49">
        <v>54</v>
      </c>
      <c r="N28" s="49">
        <v>54</v>
      </c>
      <c r="O28" s="49">
        <v>54</v>
      </c>
      <c r="P28" s="49">
        <v>54</v>
      </c>
      <c r="Q28" s="49">
        <v>54</v>
      </c>
      <c r="R28" s="49">
        <v>47</v>
      </c>
      <c r="S28" s="49">
        <v>46.6</v>
      </c>
      <c r="T28" s="49">
        <v>47.9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4"/>
        <v>50.833333333333336</v>
      </c>
      <c r="D29" s="51">
        <f t="shared" si="5"/>
        <v>610</v>
      </c>
      <c r="E29" s="49">
        <v>1479.89</v>
      </c>
      <c r="F29" s="49">
        <f t="shared" si="6"/>
        <v>29.112590163934428</v>
      </c>
      <c r="G29" s="52">
        <f t="shared" si="7"/>
        <v>3.4349399842781105E-2</v>
      </c>
      <c r="I29" s="49">
        <v>50</v>
      </c>
      <c r="J29" s="49">
        <v>50</v>
      </c>
      <c r="K29" s="49">
        <v>50</v>
      </c>
      <c r="L29" s="49">
        <v>50.1</v>
      </c>
      <c r="M29" s="49">
        <v>47.7</v>
      </c>
      <c r="N29" s="49">
        <v>56</v>
      </c>
      <c r="O29" s="49">
        <v>52.2</v>
      </c>
      <c r="P29" s="49">
        <v>53.5</v>
      </c>
      <c r="Q29" s="49">
        <v>55</v>
      </c>
      <c r="R29" s="49">
        <v>41.5</v>
      </c>
      <c r="S29" s="49">
        <v>39</v>
      </c>
      <c r="T29" s="49">
        <v>65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4"/>
        <v>66.283333333333346</v>
      </c>
      <c r="D30" s="51">
        <f t="shared" si="5"/>
        <v>795.40000000000009</v>
      </c>
      <c r="E30" s="49">
        <v>1479.89</v>
      </c>
      <c r="F30" s="49">
        <f t="shared" si="6"/>
        <v>22.326728689967311</v>
      </c>
      <c r="G30" s="52">
        <f t="shared" si="7"/>
        <v>4.478936497532475E-2</v>
      </c>
      <c r="I30" s="49">
        <v>65</v>
      </c>
      <c r="J30" s="49">
        <v>65</v>
      </c>
      <c r="K30" s="49">
        <v>65</v>
      </c>
      <c r="L30" s="49">
        <v>69</v>
      </c>
      <c r="M30" s="49">
        <v>69</v>
      </c>
      <c r="N30" s="49">
        <v>69</v>
      </c>
      <c r="O30" s="49">
        <v>68.2</v>
      </c>
      <c r="P30" s="49">
        <v>68.5</v>
      </c>
      <c r="Q30" s="49">
        <v>70</v>
      </c>
      <c r="R30" s="49">
        <v>68.8</v>
      </c>
      <c r="S30" s="49">
        <v>55.2</v>
      </c>
      <c r="T30" s="49">
        <v>62.7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4"/>
        <v>66.683333333333323</v>
      </c>
      <c r="D31" s="51">
        <f t="shared" si="5"/>
        <v>800.19999999999993</v>
      </c>
      <c r="E31" s="49">
        <v>1479.89</v>
      </c>
      <c r="F31" s="49">
        <f t="shared" si="6"/>
        <v>22.192801799550118</v>
      </c>
      <c r="G31" s="52">
        <f t="shared" si="7"/>
        <v>4.5059655334743341E-2</v>
      </c>
      <c r="I31" s="49">
        <v>65</v>
      </c>
      <c r="J31" s="49">
        <v>65</v>
      </c>
      <c r="K31" s="49">
        <v>57.8</v>
      </c>
      <c r="L31" s="49">
        <v>67.099999999999994</v>
      </c>
      <c r="M31" s="49">
        <v>69</v>
      </c>
      <c r="N31" s="49">
        <v>69</v>
      </c>
      <c r="O31" s="49">
        <v>69</v>
      </c>
      <c r="P31" s="49">
        <v>69</v>
      </c>
      <c r="Q31" s="49">
        <v>69</v>
      </c>
      <c r="R31" s="49">
        <v>59.8</v>
      </c>
      <c r="S31" s="49">
        <v>65.5</v>
      </c>
      <c r="T31" s="49">
        <v>75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4"/>
        <v>76.133333333333326</v>
      </c>
      <c r="D32" s="51">
        <f t="shared" si="5"/>
        <v>913.59999999999991</v>
      </c>
      <c r="E32" s="49">
        <v>1479.89</v>
      </c>
      <c r="F32" s="49">
        <f t="shared" si="6"/>
        <v>19.438134851138358</v>
      </c>
      <c r="G32" s="52">
        <f t="shared" si="7"/>
        <v>5.1445265076007891E-2</v>
      </c>
      <c r="I32" s="49">
        <v>75</v>
      </c>
      <c r="J32" s="49">
        <v>75</v>
      </c>
      <c r="K32" s="49">
        <v>75</v>
      </c>
      <c r="L32" s="49">
        <v>80</v>
      </c>
      <c r="M32" s="49">
        <v>80</v>
      </c>
      <c r="N32" s="49">
        <v>80</v>
      </c>
      <c r="O32" s="49">
        <v>80</v>
      </c>
      <c r="P32" s="49">
        <v>80</v>
      </c>
      <c r="Q32" s="49">
        <v>80</v>
      </c>
      <c r="R32" s="49">
        <v>74.3</v>
      </c>
      <c r="S32" s="49">
        <v>49.3</v>
      </c>
      <c r="T32" s="49">
        <v>85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4"/>
        <v>82.041666666666671</v>
      </c>
      <c r="D33" s="51">
        <f t="shared" si="5"/>
        <v>984.5</v>
      </c>
      <c r="E33" s="49">
        <v>1479.89</v>
      </c>
      <c r="F33" s="49">
        <f t="shared" si="6"/>
        <v>18.038273235144743</v>
      </c>
      <c r="G33" s="52">
        <f t="shared" si="7"/>
        <v>5.5437678926586888E-2</v>
      </c>
      <c r="I33" s="49">
        <v>85</v>
      </c>
      <c r="J33" s="49">
        <v>85</v>
      </c>
      <c r="K33" s="49">
        <v>85</v>
      </c>
      <c r="L33" s="49">
        <v>90</v>
      </c>
      <c r="M33" s="49">
        <v>90</v>
      </c>
      <c r="N33" s="49">
        <v>90</v>
      </c>
      <c r="O33" s="49">
        <v>90</v>
      </c>
      <c r="P33" s="49">
        <v>87.9</v>
      </c>
      <c r="Q33" s="49">
        <v>88.1</v>
      </c>
      <c r="R33" s="49">
        <v>72.599999999999994</v>
      </c>
      <c r="S33" s="49">
        <v>37.799999999999997</v>
      </c>
      <c r="T33" s="49">
        <v>83.1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4"/>
        <v>84.858333333333334</v>
      </c>
      <c r="D34" s="51">
        <f t="shared" si="5"/>
        <v>1018.3</v>
      </c>
      <c r="E34" s="49">
        <v>1479.89</v>
      </c>
      <c r="F34" s="49">
        <f t="shared" si="6"/>
        <v>17.439536482372581</v>
      </c>
      <c r="G34" s="52">
        <f t="shared" si="7"/>
        <v>5.7340973540826227E-2</v>
      </c>
      <c r="I34" s="49">
        <v>86</v>
      </c>
      <c r="J34" s="49">
        <v>85</v>
      </c>
      <c r="K34" s="49">
        <v>85.4</v>
      </c>
      <c r="L34" s="49">
        <v>90</v>
      </c>
      <c r="M34" s="49">
        <v>90</v>
      </c>
      <c r="N34" s="49">
        <v>90</v>
      </c>
      <c r="O34" s="49">
        <v>90</v>
      </c>
      <c r="P34" s="49">
        <v>90</v>
      </c>
      <c r="Q34" s="49">
        <v>90</v>
      </c>
      <c r="R34" s="49">
        <v>71.900000000000006</v>
      </c>
      <c r="S34" s="49">
        <v>75</v>
      </c>
      <c r="T34" s="49">
        <v>75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4"/>
        <v>76.108333333333334</v>
      </c>
      <c r="D35" s="51">
        <f t="shared" si="5"/>
        <v>913.3</v>
      </c>
      <c r="E35" s="49">
        <v>1479.89</v>
      </c>
      <c r="F35" s="49">
        <f t="shared" si="6"/>
        <v>19.444519872988067</v>
      </c>
      <c r="G35" s="52">
        <f t="shared" si="7"/>
        <v>5.1428371928544235E-2</v>
      </c>
      <c r="I35" s="49">
        <v>75</v>
      </c>
      <c r="J35" s="49">
        <v>75</v>
      </c>
      <c r="K35" s="49">
        <v>78</v>
      </c>
      <c r="L35" s="49">
        <v>74.3</v>
      </c>
      <c r="M35" s="49">
        <v>73.599999999999994</v>
      </c>
      <c r="N35" s="49">
        <v>80</v>
      </c>
      <c r="O35" s="49">
        <v>80</v>
      </c>
      <c r="P35" s="49">
        <v>80</v>
      </c>
      <c r="Q35" s="49">
        <v>80</v>
      </c>
      <c r="R35" s="49">
        <v>80</v>
      </c>
      <c r="S35" s="49">
        <v>74.400000000000006</v>
      </c>
      <c r="T35" s="49">
        <v>63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4"/>
        <v>76.808333333333323</v>
      </c>
      <c r="D36" s="51">
        <f t="shared" si="5"/>
        <v>921.69999999999993</v>
      </c>
      <c r="E36" s="49">
        <v>1479.89</v>
      </c>
      <c r="F36" s="49">
        <f t="shared" si="6"/>
        <v>19.267310404686995</v>
      </c>
      <c r="G36" s="52">
        <f t="shared" si="7"/>
        <v>5.1901380057526786E-2</v>
      </c>
      <c r="I36" s="49">
        <v>75</v>
      </c>
      <c r="J36" s="49">
        <v>75</v>
      </c>
      <c r="K36" s="49">
        <v>75.5</v>
      </c>
      <c r="L36" s="49">
        <v>80.7</v>
      </c>
      <c r="M36" s="49">
        <v>81</v>
      </c>
      <c r="N36" s="49">
        <v>81</v>
      </c>
      <c r="O36" s="49">
        <v>80.099999999999994</v>
      </c>
      <c r="P36" s="49">
        <v>80</v>
      </c>
      <c r="Q36" s="49">
        <v>80</v>
      </c>
      <c r="R36" s="49">
        <v>64.8</v>
      </c>
      <c r="S36" s="49">
        <v>68.599999999999994</v>
      </c>
      <c r="T36" s="49">
        <v>80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4"/>
        <v>82.50833333333334</v>
      </c>
      <c r="D37" s="51">
        <f t="shared" si="5"/>
        <v>990.1</v>
      </c>
      <c r="E37" s="49">
        <v>1479.89</v>
      </c>
      <c r="F37" s="49">
        <f t="shared" si="6"/>
        <v>17.936248863751135</v>
      </c>
      <c r="G37" s="52">
        <f t="shared" si="7"/>
        <v>5.5753017679241929E-2</v>
      </c>
      <c r="I37" s="49">
        <v>80</v>
      </c>
      <c r="J37" s="49">
        <v>79.099999999999994</v>
      </c>
      <c r="K37" s="49">
        <v>80</v>
      </c>
      <c r="L37" s="49">
        <v>85</v>
      </c>
      <c r="M37" s="49">
        <v>85</v>
      </c>
      <c r="N37" s="49">
        <v>85</v>
      </c>
      <c r="O37" s="49">
        <v>85</v>
      </c>
      <c r="P37" s="49">
        <v>85</v>
      </c>
      <c r="Q37" s="49">
        <v>85</v>
      </c>
      <c r="R37" s="49">
        <v>63.5</v>
      </c>
      <c r="S37" s="49">
        <v>87.5</v>
      </c>
      <c r="T37" s="49">
        <v>90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4"/>
        <v>93.491666666666674</v>
      </c>
      <c r="D38" s="51">
        <f t="shared" si="5"/>
        <v>1121.9000000000001</v>
      </c>
      <c r="E38" s="49">
        <v>1479.89</v>
      </c>
      <c r="F38" s="49">
        <f t="shared" si="6"/>
        <v>15.829111328995454</v>
      </c>
      <c r="G38" s="52">
        <f t="shared" si="7"/>
        <v>6.3174740464944465E-2</v>
      </c>
      <c r="I38" s="49">
        <v>90</v>
      </c>
      <c r="J38" s="49">
        <v>90</v>
      </c>
      <c r="K38" s="49">
        <v>93.2</v>
      </c>
      <c r="L38" s="49">
        <v>96</v>
      </c>
      <c r="M38" s="49">
        <v>96</v>
      </c>
      <c r="N38" s="49">
        <v>96</v>
      </c>
      <c r="O38" s="49">
        <v>96</v>
      </c>
      <c r="P38" s="49">
        <v>95.8</v>
      </c>
      <c r="Q38" s="49">
        <v>96</v>
      </c>
      <c r="R38" s="49">
        <v>76.599999999999994</v>
      </c>
      <c r="S38" s="49">
        <v>96.3</v>
      </c>
      <c r="T38" s="49">
        <v>100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4"/>
        <v>107.875</v>
      </c>
      <c r="D39" s="51">
        <f t="shared" si="5"/>
        <v>1294.5</v>
      </c>
      <c r="E39" s="49">
        <v>1479.89</v>
      </c>
      <c r="F39" s="49">
        <f t="shared" si="6"/>
        <v>13.718563151796062</v>
      </c>
      <c r="G39" s="52">
        <f t="shared" si="7"/>
        <v>7.2893931305705151E-2</v>
      </c>
      <c r="I39" s="49">
        <v>100</v>
      </c>
      <c r="J39" s="49">
        <v>100</v>
      </c>
      <c r="K39" s="49">
        <v>104.5</v>
      </c>
      <c r="L39" s="49">
        <v>113</v>
      </c>
      <c r="M39" s="49">
        <v>113</v>
      </c>
      <c r="N39" s="49">
        <v>113</v>
      </c>
      <c r="O39" s="49">
        <v>112.6</v>
      </c>
      <c r="P39" s="49">
        <v>113</v>
      </c>
      <c r="Q39" s="49">
        <v>113</v>
      </c>
      <c r="R39" s="49">
        <v>113</v>
      </c>
      <c r="S39" s="49">
        <v>99.4</v>
      </c>
      <c r="T39" s="49">
        <v>100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4"/>
        <v>103.22500000000001</v>
      </c>
      <c r="D40" s="51">
        <f t="shared" si="5"/>
        <v>1238.7</v>
      </c>
      <c r="E40" s="49">
        <v>1479.89</v>
      </c>
      <c r="F40" s="49">
        <f t="shared" si="6"/>
        <v>14.336546379268588</v>
      </c>
      <c r="G40" s="52">
        <f t="shared" si="7"/>
        <v>6.9751805877463866E-2</v>
      </c>
      <c r="I40" s="49">
        <v>100</v>
      </c>
      <c r="J40" s="49">
        <v>100</v>
      </c>
      <c r="K40" s="49">
        <v>100.4</v>
      </c>
      <c r="L40" s="49">
        <v>107</v>
      </c>
      <c r="M40" s="49">
        <v>107</v>
      </c>
      <c r="N40" s="49">
        <v>107</v>
      </c>
      <c r="O40" s="49">
        <v>107</v>
      </c>
      <c r="P40" s="49">
        <v>107</v>
      </c>
      <c r="Q40" s="49">
        <v>107</v>
      </c>
      <c r="R40" s="49">
        <v>96.9</v>
      </c>
      <c r="S40" s="49">
        <v>99.4</v>
      </c>
      <c r="T40" s="49">
        <v>100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4"/>
        <v>101.80833333333334</v>
      </c>
      <c r="D41" s="51">
        <f t="shared" si="5"/>
        <v>1221.7</v>
      </c>
      <c r="E41" s="49">
        <v>1479.89</v>
      </c>
      <c r="F41" s="49">
        <f t="shared" si="6"/>
        <v>14.536039944339855</v>
      </c>
      <c r="G41" s="52">
        <f t="shared" si="7"/>
        <v>6.8794527521189641E-2</v>
      </c>
      <c r="I41" s="49">
        <v>100</v>
      </c>
      <c r="J41" s="49">
        <v>99.8</v>
      </c>
      <c r="K41" s="49">
        <v>105</v>
      </c>
      <c r="L41" s="49">
        <v>105</v>
      </c>
      <c r="M41" s="49">
        <v>105.7</v>
      </c>
      <c r="N41" s="49">
        <v>106</v>
      </c>
      <c r="O41" s="49">
        <v>106</v>
      </c>
      <c r="P41" s="49">
        <v>106</v>
      </c>
      <c r="Q41" s="49">
        <v>106</v>
      </c>
      <c r="R41" s="49">
        <v>85.4</v>
      </c>
      <c r="S41" s="49">
        <v>96.8</v>
      </c>
      <c r="T41" s="49">
        <v>100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4"/>
        <v>93.27500000000002</v>
      </c>
      <c r="D42" s="51">
        <f t="shared" si="5"/>
        <v>1119.3000000000002</v>
      </c>
      <c r="E42" s="49">
        <v>1479.89</v>
      </c>
      <c r="F42" s="49">
        <f t="shared" si="6"/>
        <v>15.86588046100241</v>
      </c>
      <c r="G42" s="52">
        <f t="shared" si="7"/>
        <v>6.3028333186926064E-2</v>
      </c>
      <c r="I42" s="49">
        <v>100</v>
      </c>
      <c r="J42" s="49">
        <v>100</v>
      </c>
      <c r="K42" s="49">
        <v>107.7</v>
      </c>
      <c r="L42" s="49">
        <v>105.5</v>
      </c>
      <c r="M42" s="49">
        <v>89.2</v>
      </c>
      <c r="N42" s="49">
        <v>97.1</v>
      </c>
      <c r="O42" s="49">
        <v>97</v>
      </c>
      <c r="P42" s="49">
        <v>97</v>
      </c>
      <c r="Q42" s="49">
        <v>97.7</v>
      </c>
      <c r="R42" s="49">
        <v>90.2</v>
      </c>
      <c r="S42" s="49">
        <v>65.900000000000006</v>
      </c>
      <c r="T42" s="49">
        <v>72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4"/>
        <v>73.166666666666671</v>
      </c>
      <c r="D43" s="51">
        <f t="shared" si="5"/>
        <v>878</v>
      </c>
      <c r="E43" s="49">
        <v>1479.89</v>
      </c>
      <c r="F43" s="49">
        <f t="shared" si="6"/>
        <v>20.226287015945331</v>
      </c>
      <c r="G43" s="52">
        <f t="shared" si="7"/>
        <v>4.9440611576986579E-2</v>
      </c>
      <c r="I43" s="49">
        <v>72</v>
      </c>
      <c r="J43" s="49">
        <v>72</v>
      </c>
      <c r="K43" s="49">
        <v>81</v>
      </c>
      <c r="L43" s="49">
        <v>81</v>
      </c>
      <c r="M43" s="49">
        <v>81</v>
      </c>
      <c r="N43" s="49">
        <v>81</v>
      </c>
      <c r="O43" s="49">
        <v>81</v>
      </c>
      <c r="P43" s="49">
        <v>81</v>
      </c>
      <c r="Q43" s="49">
        <v>81</v>
      </c>
      <c r="R43" s="49">
        <v>67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4"/>
        <v>54.891666666666673</v>
      </c>
      <c r="D44" s="51">
        <f t="shared" si="5"/>
        <v>658.7</v>
      </c>
      <c r="E44" s="49">
        <v>1479.89</v>
      </c>
      <c r="F44" s="49">
        <f t="shared" si="6"/>
        <v>26.960194322149686</v>
      </c>
      <c r="G44" s="52">
        <f t="shared" si="7"/>
        <v>3.7091720781049047E-2</v>
      </c>
      <c r="I44" s="49">
        <v>50</v>
      </c>
      <c r="J44" s="49">
        <v>50</v>
      </c>
      <c r="K44" s="49">
        <v>55</v>
      </c>
      <c r="L44" s="49">
        <v>53.8</v>
      </c>
      <c r="M44" s="49">
        <v>53</v>
      </c>
      <c r="N44" s="49">
        <v>53</v>
      </c>
      <c r="O44" s="49">
        <v>53</v>
      </c>
      <c r="P44" s="49">
        <v>51.9</v>
      </c>
      <c r="Q44" s="49">
        <v>60.6</v>
      </c>
      <c r="R44" s="49">
        <v>47.3</v>
      </c>
      <c r="S44" s="49">
        <v>61.1</v>
      </c>
      <c r="T44" s="49">
        <v>70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4"/>
        <v>70.25833333333334</v>
      </c>
      <c r="D45" s="51">
        <f t="shared" si="5"/>
        <v>843.1</v>
      </c>
      <c r="E45" s="49">
        <v>1479.89</v>
      </c>
      <c r="F45" s="49">
        <f t="shared" si="6"/>
        <v>21.063551180168425</v>
      </c>
      <c r="G45" s="52">
        <f t="shared" si="7"/>
        <v>4.7475375422047134E-2</v>
      </c>
      <c r="I45" s="49">
        <v>70</v>
      </c>
      <c r="J45" s="49">
        <v>70</v>
      </c>
      <c r="K45" s="49">
        <v>75</v>
      </c>
      <c r="L45" s="49">
        <v>75</v>
      </c>
      <c r="M45" s="49">
        <v>70.7</v>
      </c>
      <c r="N45" s="49">
        <v>75</v>
      </c>
      <c r="O45" s="49">
        <v>70</v>
      </c>
      <c r="P45" s="49">
        <v>70</v>
      </c>
      <c r="Q45" s="49">
        <v>70</v>
      </c>
      <c r="R45" s="49">
        <v>50.4</v>
      </c>
      <c r="S45" s="49">
        <v>72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4"/>
        <v>78.60833333333332</v>
      </c>
      <c r="D46" s="51">
        <f t="shared" si="5"/>
        <v>943.29999999999984</v>
      </c>
      <c r="E46" s="49">
        <v>1479.89</v>
      </c>
      <c r="F46" s="49">
        <f t="shared" si="6"/>
        <v>18.82612106434857</v>
      </c>
      <c r="G46" s="52">
        <f t="shared" si="7"/>
        <v>5.3117686674910507E-2</v>
      </c>
      <c r="I46" s="49">
        <v>75</v>
      </c>
      <c r="J46" s="49">
        <v>75</v>
      </c>
      <c r="K46" s="49">
        <v>80.900000000000006</v>
      </c>
      <c r="L46" s="49">
        <v>78.400000000000006</v>
      </c>
      <c r="M46" s="49">
        <v>77.599999999999994</v>
      </c>
      <c r="N46" s="49">
        <v>76</v>
      </c>
      <c r="O46" s="49">
        <v>75.8</v>
      </c>
      <c r="P46" s="49">
        <v>75.8</v>
      </c>
      <c r="Q46" s="49">
        <v>76</v>
      </c>
      <c r="R46" s="49">
        <v>71.8</v>
      </c>
      <c r="S46" s="49">
        <v>86</v>
      </c>
      <c r="T46" s="49">
        <v>95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4"/>
        <v>92.899999999999991</v>
      </c>
      <c r="D47" s="51">
        <f t="shared" si="5"/>
        <v>1114.8</v>
      </c>
      <c r="E47" s="49">
        <v>1479.89</v>
      </c>
      <c r="F47" s="49">
        <f t="shared" si="6"/>
        <v>15.929924650161466</v>
      </c>
      <c r="G47" s="52">
        <f t="shared" si="7"/>
        <v>6.2774935974971108E-2</v>
      </c>
      <c r="I47" s="49">
        <v>107.6</v>
      </c>
      <c r="J47" s="49">
        <v>107.5</v>
      </c>
      <c r="K47" s="49">
        <v>111</v>
      </c>
      <c r="L47" s="49">
        <v>102.2</v>
      </c>
      <c r="M47" s="49">
        <v>101</v>
      </c>
      <c r="N47" s="49">
        <v>101</v>
      </c>
      <c r="O47" s="49">
        <v>101</v>
      </c>
      <c r="P47" s="49">
        <v>100.2</v>
      </c>
      <c r="Q47" s="49">
        <v>101</v>
      </c>
      <c r="R47" s="49">
        <v>87.7</v>
      </c>
      <c r="S47" s="49">
        <v>44.6</v>
      </c>
      <c r="T47" s="49">
        <v>50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4"/>
        <v>56.44166666666667</v>
      </c>
      <c r="D48" s="51">
        <f t="shared" si="5"/>
        <v>677.30000000000007</v>
      </c>
      <c r="E48" s="49">
        <v>1479.89</v>
      </c>
      <c r="F48" s="49">
        <f t="shared" si="6"/>
        <v>26.219813967222798</v>
      </c>
      <c r="G48" s="52">
        <f t="shared" si="7"/>
        <v>3.8139095923796135E-2</v>
      </c>
      <c r="I48" s="49">
        <v>50</v>
      </c>
      <c r="J48" s="49">
        <v>50.1</v>
      </c>
      <c r="K48" s="49">
        <v>54</v>
      </c>
      <c r="L48" s="49">
        <v>54</v>
      </c>
      <c r="M48" s="49">
        <v>54</v>
      </c>
      <c r="N48" s="49">
        <v>47.5</v>
      </c>
      <c r="O48" s="49">
        <v>41</v>
      </c>
      <c r="P48" s="49">
        <v>52.6</v>
      </c>
      <c r="Q48" s="49">
        <v>52.4</v>
      </c>
      <c r="R48" s="49">
        <v>29.8</v>
      </c>
      <c r="S48" s="49">
        <v>91.9</v>
      </c>
      <c r="T48" s="49">
        <v>100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4"/>
        <v>87.166666666666671</v>
      </c>
      <c r="D49" s="51">
        <f t="shared" si="5"/>
        <v>1046</v>
      </c>
      <c r="E49" s="49">
        <v>1479.89</v>
      </c>
      <c r="F49" s="49">
        <f t="shared" si="6"/>
        <v>16.97770554493308</v>
      </c>
      <c r="G49" s="52">
        <f t="shared" si="7"/>
        <v>5.8900774156637768E-2</v>
      </c>
      <c r="I49" s="49">
        <v>100</v>
      </c>
      <c r="J49" s="49">
        <v>100</v>
      </c>
      <c r="K49" s="49">
        <v>105</v>
      </c>
      <c r="L49" s="49">
        <v>104.3</v>
      </c>
      <c r="M49" s="49">
        <v>101.4</v>
      </c>
      <c r="N49" s="49">
        <v>99</v>
      </c>
      <c r="O49" s="49">
        <v>102</v>
      </c>
      <c r="P49" s="49">
        <v>101.4</v>
      </c>
      <c r="Q49" s="49">
        <v>102</v>
      </c>
      <c r="R49" s="49">
        <v>43.9</v>
      </c>
      <c r="S49" s="49">
        <v>42</v>
      </c>
      <c r="T49" s="49">
        <v>45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4"/>
        <v>50.391666666666673</v>
      </c>
      <c r="D50" s="51">
        <f t="shared" si="5"/>
        <v>604.70000000000005</v>
      </c>
      <c r="E50" s="49">
        <v>1479.89</v>
      </c>
      <c r="F50" s="49">
        <f t="shared" si="6"/>
        <v>29.367752604597321</v>
      </c>
      <c r="G50" s="52">
        <f t="shared" si="7"/>
        <v>3.4050954237589734E-2</v>
      </c>
      <c r="I50" s="49">
        <v>45</v>
      </c>
      <c r="J50" s="49">
        <v>45</v>
      </c>
      <c r="K50" s="49">
        <v>48</v>
      </c>
      <c r="L50" s="49">
        <v>44.7</v>
      </c>
      <c r="M50" s="49">
        <v>49.2</v>
      </c>
      <c r="N50" s="49">
        <v>50</v>
      </c>
      <c r="O50" s="49">
        <v>50</v>
      </c>
      <c r="P50" s="49">
        <v>50</v>
      </c>
      <c r="Q50" s="49">
        <v>50</v>
      </c>
      <c r="R50" s="49">
        <v>51.5</v>
      </c>
      <c r="S50" s="49">
        <v>48.1</v>
      </c>
      <c r="T50" s="49">
        <v>73.2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4"/>
        <v>66.608333333333334</v>
      </c>
      <c r="D51" s="51">
        <f t="shared" si="5"/>
        <v>799.3</v>
      </c>
      <c r="E51" s="49">
        <v>1479.89</v>
      </c>
      <c r="F51" s="49">
        <f t="shared" si="6"/>
        <v>22.217790566745904</v>
      </c>
      <c r="G51" s="52">
        <f t="shared" si="7"/>
        <v>4.5008975892352358E-2</v>
      </c>
      <c r="I51" s="49">
        <v>66</v>
      </c>
      <c r="J51" s="49">
        <v>66</v>
      </c>
      <c r="K51" s="49">
        <v>70</v>
      </c>
      <c r="L51" s="49">
        <v>70</v>
      </c>
      <c r="M51" s="49">
        <v>70</v>
      </c>
      <c r="N51" s="49">
        <v>70</v>
      </c>
      <c r="O51" s="49">
        <v>70</v>
      </c>
      <c r="P51" s="49">
        <v>70</v>
      </c>
      <c r="Q51" s="49">
        <v>70</v>
      </c>
      <c r="R51" s="49">
        <v>70</v>
      </c>
      <c r="S51" s="49">
        <v>51.3</v>
      </c>
      <c r="T51" s="49">
        <v>56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4"/>
        <v>57.79999999999999</v>
      </c>
      <c r="D52" s="51">
        <f t="shared" si="5"/>
        <v>693.59999999999991</v>
      </c>
      <c r="E52" s="49">
        <v>1479.89</v>
      </c>
      <c r="F52" s="49">
        <f t="shared" si="6"/>
        <v>25.603633217993085</v>
      </c>
      <c r="G52" s="52">
        <f t="shared" si="7"/>
        <v>3.9056956935988478E-2</v>
      </c>
      <c r="I52" s="49">
        <v>64.400000000000006</v>
      </c>
      <c r="J52" s="49">
        <v>64.400000000000006</v>
      </c>
      <c r="K52" s="49">
        <v>66.2</v>
      </c>
      <c r="L52" s="49">
        <v>68.400000000000006</v>
      </c>
      <c r="M52" s="49">
        <v>65.7</v>
      </c>
      <c r="N52" s="49">
        <v>58</v>
      </c>
      <c r="O52" s="49">
        <v>58</v>
      </c>
      <c r="P52" s="49">
        <v>58</v>
      </c>
      <c r="Q52" s="49">
        <v>58</v>
      </c>
      <c r="R52" s="49">
        <v>58</v>
      </c>
      <c r="S52" s="49">
        <v>38.9</v>
      </c>
      <c r="T52" s="49">
        <v>35.6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4"/>
        <v>52.908333333333339</v>
      </c>
      <c r="D53" s="51">
        <f t="shared" si="5"/>
        <v>634.90000000000009</v>
      </c>
      <c r="E53" s="49">
        <v>1479.89</v>
      </c>
      <c r="F53" s="49">
        <f t="shared" si="6"/>
        <v>27.970830051976687</v>
      </c>
      <c r="G53" s="52">
        <f t="shared" si="7"/>
        <v>3.5751531082265121E-2</v>
      </c>
      <c r="I53" s="49">
        <v>55</v>
      </c>
      <c r="J53" s="49">
        <v>55</v>
      </c>
      <c r="K53" s="49">
        <v>58</v>
      </c>
      <c r="L53" s="49">
        <v>58</v>
      </c>
      <c r="M53" s="49">
        <v>58</v>
      </c>
      <c r="N53" s="49">
        <v>58</v>
      </c>
      <c r="O53" s="49">
        <v>58</v>
      </c>
      <c r="P53" s="49">
        <v>58</v>
      </c>
      <c r="Q53" s="49">
        <v>58</v>
      </c>
      <c r="R53" s="49">
        <v>58</v>
      </c>
      <c r="S53" s="49">
        <v>14.7</v>
      </c>
      <c r="T53" s="49">
        <v>46.2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4"/>
        <v>47.75</v>
      </c>
      <c r="D54" s="51">
        <f t="shared" si="5"/>
        <v>573</v>
      </c>
      <c r="E54" s="49">
        <v>1479.89</v>
      </c>
      <c r="F54" s="49">
        <f t="shared" si="6"/>
        <v>30.992460732984295</v>
      </c>
      <c r="G54" s="52">
        <f t="shared" si="7"/>
        <v>3.2265911655596023E-2</v>
      </c>
      <c r="I54" s="49">
        <v>45.7</v>
      </c>
      <c r="J54" s="49">
        <v>46</v>
      </c>
      <c r="K54" s="49">
        <v>45.7</v>
      </c>
      <c r="L54" s="49">
        <v>52.3</v>
      </c>
      <c r="M54" s="49">
        <v>53</v>
      </c>
      <c r="N54" s="49">
        <v>53</v>
      </c>
      <c r="O54" s="49">
        <v>53</v>
      </c>
      <c r="P54" s="49">
        <v>53</v>
      </c>
      <c r="Q54" s="49">
        <v>53</v>
      </c>
      <c r="R54" s="49">
        <v>53</v>
      </c>
      <c r="S54" s="49">
        <v>22.2</v>
      </c>
      <c r="T54" s="49">
        <v>43.1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4"/>
        <v>42.808333333333337</v>
      </c>
      <c r="D55" s="51">
        <f t="shared" si="5"/>
        <v>513.70000000000005</v>
      </c>
      <c r="E55" s="49">
        <v>1479.89</v>
      </c>
      <c r="F55" s="49">
        <f t="shared" si="6"/>
        <v>34.570138212964764</v>
      </c>
      <c r="G55" s="52">
        <f t="shared" si="7"/>
        <v>2.8926699506945337E-2</v>
      </c>
      <c r="I55" s="49">
        <v>46</v>
      </c>
      <c r="J55" s="49">
        <v>46</v>
      </c>
      <c r="K55" s="49">
        <v>53.4</v>
      </c>
      <c r="L55" s="49">
        <v>56</v>
      </c>
      <c r="M55" s="49">
        <v>56</v>
      </c>
      <c r="N55" s="49">
        <v>56</v>
      </c>
      <c r="O55" s="49">
        <v>56</v>
      </c>
      <c r="P55" s="49">
        <v>55.8</v>
      </c>
      <c r="Q55" s="49">
        <v>56</v>
      </c>
      <c r="R55" s="49">
        <v>32.5</v>
      </c>
      <c r="S55" s="49">
        <v>0</v>
      </c>
      <c r="T55" s="49">
        <v>0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4"/>
        <v>0</v>
      </c>
      <c r="D56" s="51">
        <f t="shared" si="5"/>
        <v>0</v>
      </c>
      <c r="E56" s="49">
        <v>1479.89</v>
      </c>
      <c r="F56" s="49" t="e">
        <f t="shared" si="6"/>
        <v>#DIV/0!</v>
      </c>
      <c r="G56" s="52">
        <f t="shared" si="7"/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4"/>
        <v>0</v>
      </c>
      <c r="D57" s="51">
        <f t="shared" si="5"/>
        <v>0</v>
      </c>
      <c r="E57" s="49">
        <v>1479.89</v>
      </c>
      <c r="F57" s="49" t="e">
        <f t="shared" si="6"/>
        <v>#DIV/0!</v>
      </c>
      <c r="G57" s="52">
        <f t="shared" si="7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4"/>
        <v>0</v>
      </c>
      <c r="D58" s="51">
        <f t="shared" si="5"/>
        <v>0</v>
      </c>
      <c r="E58" s="49">
        <v>1479.89</v>
      </c>
      <c r="F58" s="49" t="e">
        <f t="shared" si="6"/>
        <v>#DIV/0!</v>
      </c>
      <c r="G58" s="52">
        <f t="shared" si="7"/>
        <v>0</v>
      </c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4"/>
        <v>66.5</v>
      </c>
      <c r="D59" s="51">
        <f t="shared" si="5"/>
        <v>798</v>
      </c>
      <c r="E59" s="49">
        <v>1479.89</v>
      </c>
      <c r="F59" s="49">
        <f t="shared" si="6"/>
        <v>22.253984962406015</v>
      </c>
      <c r="G59" s="52">
        <f t="shared" si="7"/>
        <v>4.4935772253343151E-2</v>
      </c>
      <c r="I59" s="49">
        <v>0</v>
      </c>
      <c r="J59" s="49">
        <v>0</v>
      </c>
      <c r="K59" s="49">
        <v>8.1</v>
      </c>
      <c r="L59" s="49">
        <v>84.8</v>
      </c>
      <c r="M59" s="49">
        <v>113.3</v>
      </c>
      <c r="N59" s="49">
        <v>114</v>
      </c>
      <c r="O59" s="49">
        <v>114.9</v>
      </c>
      <c r="P59" s="49">
        <v>114.6</v>
      </c>
      <c r="Q59" s="49">
        <v>115</v>
      </c>
      <c r="R59" s="49">
        <v>115</v>
      </c>
      <c r="S59" s="49">
        <v>18.3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4"/>
        <v>14.333333333333334</v>
      </c>
      <c r="D60" s="51">
        <f t="shared" si="5"/>
        <v>172</v>
      </c>
      <c r="E60" s="49">
        <v>1479.89</v>
      </c>
      <c r="F60" s="49">
        <f t="shared" si="6"/>
        <v>103.24813953488372</v>
      </c>
      <c r="G60" s="52">
        <f t="shared" si="7"/>
        <v>9.685404545833361E-3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172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4"/>
        <v>30.508333333333336</v>
      </c>
      <c r="D61" s="51">
        <f t="shared" si="5"/>
        <v>366.1</v>
      </c>
      <c r="E61" s="49">
        <v>1479.89</v>
      </c>
      <c r="F61" s="49">
        <f t="shared" si="6"/>
        <v>48.507730128380224</v>
      </c>
      <c r="G61" s="52">
        <f t="shared" si="7"/>
        <v>2.0615270954823219E-2</v>
      </c>
      <c r="I61" s="49">
        <v>172</v>
      </c>
      <c r="J61" s="49">
        <v>172</v>
      </c>
      <c r="K61" s="49">
        <v>22.1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4"/>
        <v>121.18333333333334</v>
      </c>
      <c r="D62" s="51">
        <f t="shared" si="5"/>
        <v>1454.2</v>
      </c>
      <c r="E62" s="49">
        <v>1479.89</v>
      </c>
      <c r="F62" s="49">
        <f t="shared" si="6"/>
        <v>12.211992848301472</v>
      </c>
      <c r="G62" s="52">
        <f t="shared" si="7"/>
        <v>8.1886716805528337E-2</v>
      </c>
      <c r="I62" s="49">
        <v>0</v>
      </c>
      <c r="J62" s="49">
        <v>0</v>
      </c>
      <c r="K62" s="49">
        <v>154.6</v>
      </c>
      <c r="L62" s="49">
        <v>179</v>
      </c>
      <c r="M62" s="49">
        <v>179</v>
      </c>
      <c r="N62" s="49">
        <v>176.5</v>
      </c>
      <c r="O62" s="49">
        <v>174</v>
      </c>
      <c r="P62" s="49">
        <v>173.9</v>
      </c>
      <c r="Q62" s="49">
        <v>173</v>
      </c>
      <c r="R62" s="49">
        <v>173</v>
      </c>
      <c r="S62" s="49">
        <v>70.2</v>
      </c>
      <c r="T62" s="49">
        <v>1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4"/>
        <v>28.916666666666668</v>
      </c>
      <c r="D63" s="51">
        <f t="shared" si="5"/>
        <v>347</v>
      </c>
      <c r="E63" s="49">
        <v>1479.89</v>
      </c>
      <c r="F63" s="49">
        <f t="shared" si="6"/>
        <v>51.177752161383289</v>
      </c>
      <c r="G63" s="52">
        <f t="shared" si="7"/>
        <v>1.9539740566303351E-2</v>
      </c>
      <c r="I63" s="49">
        <v>1</v>
      </c>
      <c r="J63" s="49">
        <v>1</v>
      </c>
      <c r="K63" s="49">
        <v>1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172</v>
      </c>
      <c r="T63" s="49">
        <v>172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4"/>
        <v>28.666666666666668</v>
      </c>
      <c r="D64" s="51">
        <f t="shared" si="5"/>
        <v>344</v>
      </c>
      <c r="E64" s="49">
        <v>1479.89</v>
      </c>
      <c r="F64" s="49">
        <f t="shared" si="6"/>
        <v>51.62406976744186</v>
      </c>
      <c r="G64" s="52">
        <f t="shared" si="7"/>
        <v>1.9370809091666722E-2</v>
      </c>
      <c r="I64" s="49">
        <v>172</v>
      </c>
      <c r="J64" s="49">
        <v>172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1978</v>
      </c>
      <c r="B65" s="50">
        <v>12</v>
      </c>
      <c r="C65" s="51">
        <f t="shared" si="4"/>
        <v>123.66666666666667</v>
      </c>
      <c r="D65" s="51">
        <f t="shared" si="5"/>
        <v>1484</v>
      </c>
      <c r="E65" s="49">
        <v>1479.89</v>
      </c>
      <c r="F65" s="49">
        <f t="shared" si="6"/>
        <v>11.966765498652292</v>
      </c>
      <c r="G65" s="52">
        <f t="shared" si="7"/>
        <v>8.3564769453585513E-2</v>
      </c>
      <c r="I65" s="49">
        <v>0</v>
      </c>
      <c r="J65" s="49">
        <v>0</v>
      </c>
      <c r="K65" s="49">
        <v>185.5</v>
      </c>
      <c r="L65" s="49">
        <v>185.5</v>
      </c>
      <c r="M65" s="49">
        <v>185.5</v>
      </c>
      <c r="N65" s="49">
        <v>185.5</v>
      </c>
      <c r="O65" s="49">
        <v>185.5</v>
      </c>
      <c r="P65" s="49">
        <v>185.5</v>
      </c>
      <c r="Q65" s="49">
        <v>185.5</v>
      </c>
      <c r="R65" s="49">
        <v>185.5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4"/>
        <v>28.666666666666668</v>
      </c>
      <c r="D66" s="51">
        <f t="shared" si="5"/>
        <v>344</v>
      </c>
      <c r="E66" s="49">
        <v>1479.89</v>
      </c>
      <c r="F66" s="49">
        <f t="shared" si="6"/>
        <v>51.62406976744186</v>
      </c>
      <c r="G66" s="52">
        <f t="shared" si="7"/>
        <v>1.9370809091666722E-2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172</v>
      </c>
      <c r="T66" s="49">
        <v>172</v>
      </c>
    </row>
    <row r="67" spans="1:22" s="53" customFormat="1" ht="15.75" customHeight="1" x14ac:dyDescent="0.25">
      <c r="A67" s="50">
        <v>1980</v>
      </c>
      <c r="B67" s="50">
        <v>12</v>
      </c>
      <c r="C67" s="51">
        <f t="shared" si="4"/>
        <v>28.666666666666668</v>
      </c>
      <c r="D67" s="51">
        <f t="shared" si="5"/>
        <v>344</v>
      </c>
      <c r="E67" s="49">
        <v>1479.89</v>
      </c>
      <c r="F67" s="49">
        <f t="shared" si="6"/>
        <v>51.62406976744186</v>
      </c>
      <c r="G67" s="52">
        <f t="shared" si="7"/>
        <v>1.9370809091666722E-2</v>
      </c>
      <c r="I67" s="49">
        <v>172</v>
      </c>
      <c r="J67" s="49">
        <v>172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si="4"/>
        <v>123.66666666666667</v>
      </c>
      <c r="D68" s="51">
        <f t="shared" si="5"/>
        <v>1484</v>
      </c>
      <c r="E68" s="49">
        <v>1479.89</v>
      </c>
      <c r="F68" s="49">
        <f t="shared" si="6"/>
        <v>11.966765498652292</v>
      </c>
      <c r="G68" s="52">
        <f t="shared" si="7"/>
        <v>8.3564769453585513E-2</v>
      </c>
      <c r="I68" s="49">
        <v>0</v>
      </c>
      <c r="J68" s="49">
        <v>0</v>
      </c>
      <c r="K68" s="49">
        <v>185.5</v>
      </c>
      <c r="L68" s="49">
        <v>185.5</v>
      </c>
      <c r="M68" s="49">
        <v>185.5</v>
      </c>
      <c r="N68" s="49">
        <v>185.5</v>
      </c>
      <c r="O68" s="49">
        <v>185.5</v>
      </c>
      <c r="P68" s="49">
        <v>185.5</v>
      </c>
      <c r="Q68" s="49">
        <v>185.5</v>
      </c>
      <c r="R68" s="49">
        <v>185.5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31.833333333333332</v>
      </c>
      <c r="D69" s="51">
        <f t="shared" si="5"/>
        <v>382</v>
      </c>
      <c r="E69" s="49">
        <v>1479.89</v>
      </c>
      <c r="F69" s="49">
        <f t="shared" si="6"/>
        <v>46.488691099476448</v>
      </c>
      <c r="G69" s="52">
        <f t="shared" si="7"/>
        <v>2.1510607770397348E-2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191</v>
      </c>
      <c r="T69" s="49">
        <v>191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si="4"/>
        <v>31.833333333333332</v>
      </c>
      <c r="D70" s="51">
        <f t="shared" si="5"/>
        <v>382</v>
      </c>
      <c r="E70" s="49">
        <v>1479.89</v>
      </c>
      <c r="F70" s="49">
        <f t="shared" si="6"/>
        <v>46.488691099476448</v>
      </c>
      <c r="G70" s="52">
        <f t="shared" si="7"/>
        <v>2.1510607770397348E-2</v>
      </c>
      <c r="I70" s="49">
        <v>191</v>
      </c>
      <c r="J70" s="49">
        <v>191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4"/>
        <v>129</v>
      </c>
      <c r="D71" s="51">
        <f t="shared" si="5"/>
        <v>1548</v>
      </c>
      <c r="E71" s="49">
        <v>1479.89</v>
      </c>
      <c r="F71" s="49">
        <f t="shared" si="6"/>
        <v>11.472015503875969</v>
      </c>
      <c r="G71" s="52">
        <f t="shared" si="7"/>
        <v>8.7168640912500248E-2</v>
      </c>
      <c r="I71" s="49">
        <v>0</v>
      </c>
      <c r="J71" s="49">
        <v>0</v>
      </c>
      <c r="K71" s="49">
        <v>193.5</v>
      </c>
      <c r="L71" s="49">
        <v>193.5</v>
      </c>
      <c r="M71" s="49">
        <v>193.5</v>
      </c>
      <c r="N71" s="49">
        <v>193.5</v>
      </c>
      <c r="O71" s="49">
        <v>193.5</v>
      </c>
      <c r="P71" s="49">
        <v>193.5</v>
      </c>
      <c r="Q71" s="49">
        <v>193.5</v>
      </c>
      <c r="R71" s="95">
        <v>193.5</v>
      </c>
      <c r="S71" s="49">
        <v>0</v>
      </c>
      <c r="T71" s="49">
        <v>0</v>
      </c>
    </row>
    <row r="72" spans="1:22" s="53" customFormat="1" ht="15.75" customHeight="1" x14ac:dyDescent="0.3">
      <c r="A72" s="50">
        <v>1985</v>
      </c>
      <c r="B72" s="50">
        <v>12</v>
      </c>
      <c r="C72" s="51">
        <f t="shared" si="4"/>
        <v>62</v>
      </c>
      <c r="D72" s="51">
        <f t="shared" si="5"/>
        <v>744</v>
      </c>
      <c r="E72" s="49">
        <v>1479.89</v>
      </c>
      <c r="F72" s="49">
        <f t="shared" si="6"/>
        <v>23.869193548387099</v>
      </c>
      <c r="G72" s="52">
        <f t="shared" si="7"/>
        <v>4.1895005709883838E-2</v>
      </c>
      <c r="I72" s="49">
        <v>0</v>
      </c>
      <c r="J72" s="49">
        <v>0</v>
      </c>
      <c r="K72" s="49">
        <v>93</v>
      </c>
      <c r="L72" s="49">
        <v>93</v>
      </c>
      <c r="M72" s="49">
        <v>93</v>
      </c>
      <c r="N72" s="49">
        <v>93</v>
      </c>
      <c r="O72" s="49">
        <v>93</v>
      </c>
      <c r="P72" s="49">
        <v>93</v>
      </c>
      <c r="Q72" s="49">
        <v>93</v>
      </c>
      <c r="R72" s="95">
        <v>93</v>
      </c>
      <c r="S72" s="49">
        <v>0</v>
      </c>
      <c r="T72" s="49">
        <v>0</v>
      </c>
      <c r="V72" s="90"/>
    </row>
    <row r="73" spans="1:22" s="53" customFormat="1" ht="15.75" customHeight="1" x14ac:dyDescent="0.25">
      <c r="A73" s="50">
        <v>1986</v>
      </c>
      <c r="B73" s="50">
        <v>12</v>
      </c>
      <c r="C73" s="51">
        <f t="shared" si="4"/>
        <v>60.666666666666664</v>
      </c>
      <c r="D73" s="51">
        <f t="shared" si="5"/>
        <v>728</v>
      </c>
      <c r="E73" s="49">
        <v>800.89</v>
      </c>
      <c r="F73" s="49">
        <f t="shared" si="6"/>
        <v>13.201483516483517</v>
      </c>
      <c r="G73" s="52">
        <f t="shared" si="7"/>
        <v>7.5749062501300632E-2</v>
      </c>
      <c r="I73" s="49">
        <v>0</v>
      </c>
      <c r="J73" s="49">
        <v>0</v>
      </c>
      <c r="K73" s="49">
        <v>91</v>
      </c>
      <c r="L73" s="49">
        <v>91</v>
      </c>
      <c r="M73" s="49">
        <v>91</v>
      </c>
      <c r="N73" s="49">
        <v>91</v>
      </c>
      <c r="O73" s="49">
        <v>91</v>
      </c>
      <c r="P73" s="49">
        <v>91</v>
      </c>
      <c r="Q73" s="49">
        <v>91</v>
      </c>
      <c r="R73" s="49">
        <v>91</v>
      </c>
      <c r="S73" s="49">
        <v>0</v>
      </c>
      <c r="T73" s="49">
        <v>0</v>
      </c>
      <c r="V73" s="48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4"/>
        <v>0</v>
      </c>
      <c r="D74" s="51">
        <f t="shared" si="5"/>
        <v>0</v>
      </c>
      <c r="E74" s="49">
        <v>800.89</v>
      </c>
      <c r="F74" s="49" t="e">
        <f t="shared" si="6"/>
        <v>#DIV/0!</v>
      </c>
      <c r="G74" s="52">
        <f t="shared" si="7"/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/>
      <c r="T74" s="49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4"/>
        <v>0</v>
      </c>
      <c r="D75" s="51">
        <f t="shared" si="5"/>
        <v>0</v>
      </c>
      <c r="E75" s="49">
        <v>800.89</v>
      </c>
      <c r="F75" s="49" t="e">
        <f t="shared" si="6"/>
        <v>#DIV/0!</v>
      </c>
      <c r="G75" s="52">
        <f t="shared" si="7"/>
        <v>0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0</v>
      </c>
      <c r="T75" s="49">
        <v>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4"/>
        <v>12.5</v>
      </c>
      <c r="D76" s="51">
        <f t="shared" si="5"/>
        <v>150</v>
      </c>
      <c r="E76" s="49">
        <v>800.89</v>
      </c>
      <c r="F76" s="49">
        <f t="shared" si="6"/>
        <v>64.071200000000005</v>
      </c>
      <c r="G76" s="52">
        <f t="shared" si="7"/>
        <v>1.5607636504388867E-2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75</v>
      </c>
      <c r="T76" s="49">
        <v>75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4"/>
        <v>12.5</v>
      </c>
      <c r="D77" s="51">
        <f t="shared" si="5"/>
        <v>150</v>
      </c>
      <c r="E77" s="49">
        <v>800.89</v>
      </c>
      <c r="F77" s="49">
        <f t="shared" si="6"/>
        <v>64.071200000000005</v>
      </c>
      <c r="G77" s="52">
        <f t="shared" si="7"/>
        <v>1.5607636504388867E-2</v>
      </c>
      <c r="I77" s="49">
        <v>75</v>
      </c>
      <c r="J77" s="49">
        <v>75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4"/>
        <v>61.666666666666664</v>
      </c>
      <c r="D78" s="51">
        <f t="shared" si="5"/>
        <v>740</v>
      </c>
      <c r="E78" s="49">
        <v>800.89</v>
      </c>
      <c r="F78" s="49">
        <f t="shared" si="6"/>
        <v>12.987405405405406</v>
      </c>
      <c r="G78" s="52">
        <f t="shared" si="7"/>
        <v>7.6997673421651744E-2</v>
      </c>
      <c r="I78" s="49">
        <v>0</v>
      </c>
      <c r="J78" s="49">
        <v>0</v>
      </c>
      <c r="K78" s="49">
        <v>92.5</v>
      </c>
      <c r="L78" s="49">
        <v>92.5</v>
      </c>
      <c r="M78" s="49">
        <v>92.5</v>
      </c>
      <c r="N78" s="49">
        <v>92.5</v>
      </c>
      <c r="O78" s="49">
        <v>92.5</v>
      </c>
      <c r="P78" s="49">
        <v>92.5</v>
      </c>
      <c r="Q78" s="49">
        <v>92.5</v>
      </c>
      <c r="R78" s="49">
        <v>92.5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4"/>
        <v>14.166666666666666</v>
      </c>
      <c r="D79" s="51">
        <f t="shared" si="5"/>
        <v>170</v>
      </c>
      <c r="E79" s="49">
        <v>800.89</v>
      </c>
      <c r="F79" s="49">
        <f t="shared" si="6"/>
        <v>56.533411764705882</v>
      </c>
      <c r="G79" s="52">
        <f t="shared" si="7"/>
        <v>1.7688654704974049E-2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85</v>
      </c>
      <c r="T79" s="49">
        <v>85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4"/>
        <v>14.166666666666666</v>
      </c>
      <c r="D80" s="51">
        <f t="shared" si="5"/>
        <v>170</v>
      </c>
      <c r="E80" s="49">
        <v>800.89</v>
      </c>
      <c r="F80" s="49">
        <f t="shared" si="6"/>
        <v>56.533411764705882</v>
      </c>
      <c r="G80" s="52">
        <f t="shared" si="7"/>
        <v>1.7688654704974049E-2</v>
      </c>
      <c r="I80" s="49">
        <v>85</v>
      </c>
      <c r="J80" s="49">
        <v>85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4"/>
        <v>61.666666666666664</v>
      </c>
      <c r="D81" s="51">
        <f t="shared" si="5"/>
        <v>740</v>
      </c>
      <c r="E81" s="49">
        <v>800.89</v>
      </c>
      <c r="F81" s="49">
        <f t="shared" si="6"/>
        <v>12.987405405405406</v>
      </c>
      <c r="G81" s="52">
        <f t="shared" si="7"/>
        <v>7.6997673421651744E-2</v>
      </c>
      <c r="I81" s="49">
        <v>0</v>
      </c>
      <c r="J81" s="49">
        <v>0</v>
      </c>
      <c r="K81" s="49">
        <v>92.5</v>
      </c>
      <c r="L81" s="49">
        <v>92.5</v>
      </c>
      <c r="M81" s="49">
        <v>92.5</v>
      </c>
      <c r="N81" s="49">
        <v>92.5</v>
      </c>
      <c r="O81" s="49">
        <v>92.5</v>
      </c>
      <c r="P81" s="49">
        <v>92.5</v>
      </c>
      <c r="Q81" s="49">
        <v>92.5</v>
      </c>
      <c r="R81" s="49">
        <v>92.5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4"/>
        <v>14.166666666666666</v>
      </c>
      <c r="D82" s="51">
        <f t="shared" si="5"/>
        <v>170</v>
      </c>
      <c r="E82" s="49">
        <v>800.89</v>
      </c>
      <c r="F82" s="49">
        <f t="shared" si="6"/>
        <v>56.533411764705882</v>
      </c>
      <c r="G82" s="52">
        <f t="shared" si="7"/>
        <v>1.7688654704974049E-2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85</v>
      </c>
      <c r="T82" s="49">
        <v>85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4"/>
        <v>14.166666666666666</v>
      </c>
      <c r="D83" s="51">
        <f t="shared" si="5"/>
        <v>170</v>
      </c>
      <c r="E83" s="49">
        <v>800.89</v>
      </c>
      <c r="F83" s="49">
        <f t="shared" si="6"/>
        <v>56.533411764705882</v>
      </c>
      <c r="G83" s="52">
        <f t="shared" si="7"/>
        <v>1.7688654704974049E-2</v>
      </c>
      <c r="I83" s="49">
        <v>85</v>
      </c>
      <c r="J83" s="49">
        <v>85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4"/>
        <v>62.666666666666664</v>
      </c>
      <c r="D84" s="51">
        <f t="shared" si="5"/>
        <v>752</v>
      </c>
      <c r="E84" s="49">
        <v>800.89</v>
      </c>
      <c r="F84" s="49">
        <f t="shared" si="6"/>
        <v>12.780159574468085</v>
      </c>
      <c r="G84" s="52">
        <f t="shared" si="7"/>
        <v>7.8246284342002856E-2</v>
      </c>
      <c r="I84" s="49">
        <v>0</v>
      </c>
      <c r="J84" s="49">
        <v>0</v>
      </c>
      <c r="K84" s="49">
        <v>94</v>
      </c>
      <c r="L84" s="49">
        <v>94</v>
      </c>
      <c r="M84" s="49">
        <v>94</v>
      </c>
      <c r="N84" s="49">
        <v>94</v>
      </c>
      <c r="O84" s="49">
        <v>94</v>
      </c>
      <c r="P84" s="49">
        <v>94</v>
      </c>
      <c r="Q84" s="49">
        <v>94</v>
      </c>
      <c r="R84" s="49">
        <v>94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4"/>
        <v>14.166666666666666</v>
      </c>
      <c r="D85" s="51">
        <f t="shared" si="5"/>
        <v>170</v>
      </c>
      <c r="E85" s="49">
        <v>800.89</v>
      </c>
      <c r="F85" s="49">
        <f t="shared" si="6"/>
        <v>56.533411764705882</v>
      </c>
      <c r="G85" s="52">
        <f t="shared" si="7"/>
        <v>1.7688654704974049E-2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85</v>
      </c>
      <c r="T85" s="49">
        <v>85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4"/>
        <v>14.166666666666666</v>
      </c>
      <c r="D86" s="51">
        <f t="shared" si="5"/>
        <v>170</v>
      </c>
      <c r="E86" s="49">
        <v>800.89</v>
      </c>
      <c r="F86" s="49">
        <f t="shared" si="6"/>
        <v>56.533411764705882</v>
      </c>
      <c r="G86" s="52">
        <f t="shared" si="7"/>
        <v>1.7688654704974049E-2</v>
      </c>
      <c r="I86" s="49">
        <v>85</v>
      </c>
      <c r="J86" s="49">
        <v>85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4"/>
        <v>59.666666666666664</v>
      </c>
      <c r="D87" s="51">
        <f t="shared" si="5"/>
        <v>716</v>
      </c>
      <c r="E87" s="49">
        <v>800.89</v>
      </c>
      <c r="F87" s="49">
        <f t="shared" si="6"/>
        <v>13.422737430167597</v>
      </c>
      <c r="G87" s="52">
        <f t="shared" si="7"/>
        <v>7.450045158094952E-2</v>
      </c>
      <c r="I87" s="49">
        <v>0</v>
      </c>
      <c r="J87" s="49">
        <v>0</v>
      </c>
      <c r="K87" s="49">
        <v>91</v>
      </c>
      <c r="L87" s="49">
        <v>91</v>
      </c>
      <c r="M87" s="49">
        <v>91</v>
      </c>
      <c r="N87" s="49">
        <v>91</v>
      </c>
      <c r="O87" s="49">
        <v>91</v>
      </c>
      <c r="P87" s="49">
        <v>91</v>
      </c>
      <c r="Q87" s="49">
        <v>85</v>
      </c>
      <c r="R87" s="49">
        <v>85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ref="C88:C97" si="8">D88/B88</f>
        <v>14.166666666666666</v>
      </c>
      <c r="D88" s="51">
        <f t="shared" ref="D88:D97" si="9">SUM(I88:T88)</f>
        <v>170</v>
      </c>
      <c r="E88" s="49">
        <v>800.89</v>
      </c>
      <c r="F88" s="49">
        <f t="shared" ref="F88:F97" si="10">E88/C88</f>
        <v>56.533411764705882</v>
      </c>
      <c r="G88" s="52">
        <f t="shared" ref="G88:G97" si="11">C88/E88</f>
        <v>1.7688654704974049E-2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85</v>
      </c>
      <c r="T88" s="49">
        <v>85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14.166666666666666</v>
      </c>
      <c r="D89" s="51">
        <f t="shared" si="9"/>
        <v>170</v>
      </c>
      <c r="E89" s="49">
        <v>800.89</v>
      </c>
      <c r="F89" s="49">
        <f t="shared" si="10"/>
        <v>56.533411764705882</v>
      </c>
      <c r="G89" s="52">
        <f t="shared" si="11"/>
        <v>1.7688654704974049E-2</v>
      </c>
      <c r="I89" s="49">
        <v>85</v>
      </c>
      <c r="J89" s="49">
        <v>85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60.666666666666664</v>
      </c>
      <c r="D90" s="51">
        <f t="shared" si="9"/>
        <v>728</v>
      </c>
      <c r="E90" s="49">
        <v>800.89</v>
      </c>
      <c r="F90" s="49">
        <f t="shared" si="10"/>
        <v>13.201483516483517</v>
      </c>
      <c r="G90" s="52">
        <f t="shared" si="11"/>
        <v>7.5749062501300632E-2</v>
      </c>
      <c r="I90" s="49">
        <v>0</v>
      </c>
      <c r="J90" s="49">
        <v>0</v>
      </c>
      <c r="K90" s="49">
        <v>91</v>
      </c>
      <c r="L90" s="49">
        <v>91</v>
      </c>
      <c r="M90" s="49">
        <v>91</v>
      </c>
      <c r="N90" s="49">
        <v>91</v>
      </c>
      <c r="O90" s="49">
        <v>91</v>
      </c>
      <c r="P90" s="49">
        <v>91</v>
      </c>
      <c r="Q90" s="49">
        <v>91</v>
      </c>
      <c r="R90" s="49">
        <v>91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14.166666666666666</v>
      </c>
      <c r="D91" s="51">
        <f t="shared" si="9"/>
        <v>170</v>
      </c>
      <c r="E91" s="49">
        <v>800.89</v>
      </c>
      <c r="F91" s="49">
        <f t="shared" si="10"/>
        <v>56.533411764705882</v>
      </c>
      <c r="G91" s="52">
        <f t="shared" si="11"/>
        <v>1.7688654704974049E-2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85</v>
      </c>
      <c r="T91" s="49">
        <v>85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14.166666666666666</v>
      </c>
      <c r="D92" s="51">
        <f t="shared" si="9"/>
        <v>170</v>
      </c>
      <c r="E92" s="49">
        <v>800.89</v>
      </c>
      <c r="F92" s="49">
        <f t="shared" si="10"/>
        <v>56.533411764705882</v>
      </c>
      <c r="G92" s="52">
        <f t="shared" si="11"/>
        <v>1.7688654704974049E-2</v>
      </c>
      <c r="I92" s="49">
        <v>85</v>
      </c>
      <c r="J92" s="49">
        <v>85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60.666666666666664</v>
      </c>
      <c r="D93" s="51">
        <f t="shared" si="9"/>
        <v>728</v>
      </c>
      <c r="E93" s="49">
        <v>800.89</v>
      </c>
      <c r="F93" s="49">
        <f t="shared" si="10"/>
        <v>13.201483516483517</v>
      </c>
      <c r="G93" s="52">
        <f t="shared" si="11"/>
        <v>7.5749062501300632E-2</v>
      </c>
      <c r="I93" s="49">
        <v>0</v>
      </c>
      <c r="J93" s="49">
        <v>0</v>
      </c>
      <c r="K93" s="49">
        <v>91</v>
      </c>
      <c r="L93" s="49">
        <v>91</v>
      </c>
      <c r="M93" s="49">
        <v>91</v>
      </c>
      <c r="N93" s="49">
        <v>91</v>
      </c>
      <c r="O93" s="49">
        <v>91</v>
      </c>
      <c r="P93" s="49">
        <v>91</v>
      </c>
      <c r="Q93" s="49">
        <v>91</v>
      </c>
      <c r="R93" s="49">
        <v>91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62.291666666666679</v>
      </c>
      <c r="D94" s="51">
        <f t="shared" si="9"/>
        <v>747.50000000000011</v>
      </c>
      <c r="E94" s="49">
        <v>800.89</v>
      </c>
      <c r="F94" s="49">
        <f t="shared" si="10"/>
        <v>12.857096989966552</v>
      </c>
      <c r="G94" s="52">
        <f t="shared" si="11"/>
        <v>7.7778055246871203E-2</v>
      </c>
      <c r="I94" s="49">
        <v>0</v>
      </c>
      <c r="J94" s="49">
        <v>425.6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166.8</v>
      </c>
      <c r="S94" s="49">
        <v>155.1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12.775</v>
      </c>
      <c r="D95" s="51">
        <f t="shared" si="9"/>
        <v>153.30000000000001</v>
      </c>
      <c r="E95" s="49">
        <v>800.89</v>
      </c>
      <c r="F95" s="49">
        <f t="shared" si="10"/>
        <v>62.69197651663405</v>
      </c>
      <c r="G95" s="52">
        <f t="shared" si="11"/>
        <v>1.5951004507485423E-2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153.30000000000001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15.725</v>
      </c>
      <c r="D96" s="51">
        <f t="shared" si="9"/>
        <v>188.7</v>
      </c>
      <c r="E96" s="49">
        <v>800.89</v>
      </c>
      <c r="F96" s="49">
        <f t="shared" si="10"/>
        <v>50.931001589825122</v>
      </c>
      <c r="G96" s="52">
        <f t="shared" si="11"/>
        <v>1.9634406722521196E-2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188.7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13.166666666666666</v>
      </c>
      <c r="D97" s="51">
        <f t="shared" si="9"/>
        <v>158</v>
      </c>
      <c r="E97" s="49">
        <v>800.89</v>
      </c>
      <c r="F97" s="49">
        <f t="shared" si="10"/>
        <v>60.827088607594938</v>
      </c>
      <c r="G97" s="52">
        <f t="shared" si="11"/>
        <v>1.6440043784622941E-2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158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24</v>
      </c>
      <c r="D98" s="51">
        <f t="shared" ref="D98:D107" si="13">SUM(I98:T98)</f>
        <v>288</v>
      </c>
      <c r="E98" s="49">
        <v>800.89</v>
      </c>
      <c r="F98" s="49">
        <f t="shared" ref="F98:F107" si="14">E98/C98</f>
        <v>33.370416666666664</v>
      </c>
      <c r="G98" s="52">
        <f t="shared" ref="G98:G107" si="15">C98/E98</f>
        <v>2.9966662088426625E-2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113.3</v>
      </c>
      <c r="O98" s="49">
        <v>171.8</v>
      </c>
      <c r="P98" s="49">
        <v>2.9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0</v>
      </c>
      <c r="D99" s="51">
        <f t="shared" si="13"/>
        <v>0</v>
      </c>
      <c r="E99" s="49">
        <v>800.89</v>
      </c>
      <c r="F99" s="49" t="e">
        <f t="shared" si="14"/>
        <v>#DIV/0!</v>
      </c>
      <c r="G99" s="52">
        <f t="shared" si="15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17.8</v>
      </c>
      <c r="D100" s="51">
        <f t="shared" si="13"/>
        <v>213.6</v>
      </c>
      <c r="E100" s="49">
        <v>800.89</v>
      </c>
      <c r="F100" s="49">
        <f t="shared" si="14"/>
        <v>44.993820224719101</v>
      </c>
      <c r="G100" s="52">
        <f t="shared" si="15"/>
        <v>2.2225274382249749E-2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213.6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15.691666666666665</v>
      </c>
      <c r="D101" s="51">
        <f t="shared" si="13"/>
        <v>188.29999999999998</v>
      </c>
      <c r="E101" s="49">
        <v>800.89</v>
      </c>
      <c r="F101" s="49">
        <f t="shared" si="14"/>
        <v>51.039192777482747</v>
      </c>
      <c r="G101" s="52">
        <f t="shared" si="15"/>
        <v>1.959278635850949E-2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136.4</v>
      </c>
      <c r="Q101" s="49">
        <v>51.8</v>
      </c>
      <c r="R101" s="49">
        <v>0.1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15.433333333333332</v>
      </c>
      <c r="D102" s="51">
        <f t="shared" si="13"/>
        <v>185.2</v>
      </c>
      <c r="E102" s="49">
        <v>800.89</v>
      </c>
      <c r="F102" s="49">
        <f t="shared" si="14"/>
        <v>51.893520518358535</v>
      </c>
      <c r="G102" s="52">
        <f t="shared" si="15"/>
        <v>1.9270228537418787E-2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185.2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32.866666666666667</v>
      </c>
      <c r="D103" s="51">
        <f t="shared" si="13"/>
        <v>394.4</v>
      </c>
      <c r="E103" s="49">
        <v>800.89</v>
      </c>
      <c r="F103" s="49">
        <f t="shared" si="14"/>
        <v>24.367849898580122</v>
      </c>
      <c r="G103" s="52">
        <f t="shared" si="15"/>
        <v>4.1037678915539798E-2</v>
      </c>
      <c r="I103" s="49">
        <v>377.7</v>
      </c>
      <c r="J103" s="49">
        <v>16.7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21.401666666666667</v>
      </c>
      <c r="D104" s="51">
        <f t="shared" si="13"/>
        <v>256.82</v>
      </c>
      <c r="E104" s="49">
        <v>800.89</v>
      </c>
      <c r="F104" s="49">
        <f t="shared" si="14"/>
        <v>37.421851880694646</v>
      </c>
      <c r="G104" s="52">
        <f t="shared" si="15"/>
        <v>2.6722354713714327E-2</v>
      </c>
      <c r="I104" s="49">
        <v>0</v>
      </c>
      <c r="J104" s="49">
        <v>181.5</v>
      </c>
      <c r="K104" s="49">
        <v>75.319999999999993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22.508333333333329</v>
      </c>
      <c r="D105" s="51">
        <f t="shared" si="13"/>
        <v>270.09999999999997</v>
      </c>
      <c r="E105" s="49">
        <v>800.89</v>
      </c>
      <c r="F105" s="49">
        <f t="shared" si="14"/>
        <v>35.581932617549064</v>
      </c>
      <c r="G105" s="52">
        <f t="shared" si="15"/>
        <v>2.8104150798902883E-2</v>
      </c>
      <c r="I105" s="49">
        <v>0</v>
      </c>
      <c r="J105" s="49">
        <v>0</v>
      </c>
      <c r="K105" s="49">
        <v>239.2</v>
      </c>
      <c r="L105" s="49">
        <v>30.9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34.091666666666669</v>
      </c>
      <c r="D106" s="51">
        <f t="shared" si="13"/>
        <v>409.1</v>
      </c>
      <c r="E106" s="49">
        <v>800.89</v>
      </c>
      <c r="F106" s="49">
        <f t="shared" si="14"/>
        <v>23.492251283304814</v>
      </c>
      <c r="G106" s="52">
        <f t="shared" si="15"/>
        <v>4.2567227292969904E-2</v>
      </c>
      <c r="I106" s="49">
        <v>0</v>
      </c>
      <c r="J106" s="49">
        <v>0</v>
      </c>
      <c r="K106" s="49">
        <v>191.6</v>
      </c>
      <c r="L106" s="49">
        <v>217.5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34.716666666666669</v>
      </c>
      <c r="D107" s="51">
        <f t="shared" si="13"/>
        <v>416.6</v>
      </c>
      <c r="E107" s="49">
        <v>800.89</v>
      </c>
      <c r="F107" s="49">
        <f t="shared" si="14"/>
        <v>23.06932309169467</v>
      </c>
      <c r="G107" s="52">
        <f t="shared" si="15"/>
        <v>4.3347609118189349E-2</v>
      </c>
      <c r="I107" s="49">
        <v>0</v>
      </c>
      <c r="J107" s="49">
        <v>0</v>
      </c>
      <c r="K107" s="49">
        <v>250.8</v>
      </c>
      <c r="L107" s="49">
        <v>165.8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5.6416666666666666</v>
      </c>
      <c r="D108" s="51">
        <f t="shared" ref="D108" si="17">SUM(I108:T108)</f>
        <v>67.7</v>
      </c>
      <c r="E108" s="49">
        <v>800.89</v>
      </c>
      <c r="F108" s="49">
        <f t="shared" ref="F108" si="18">E108/C108</f>
        <v>141.95982274741507</v>
      </c>
      <c r="G108" s="52">
        <f t="shared" ref="G108" si="19">C108/E108</f>
        <v>7.044246608980842E-3</v>
      </c>
      <c r="I108" s="54">
        <v>0</v>
      </c>
      <c r="J108" s="54">
        <v>0</v>
      </c>
      <c r="K108" s="54">
        <v>0</v>
      </c>
      <c r="L108" s="54">
        <v>67.7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0">D109/B109</f>
        <v>6.1916666666666664</v>
      </c>
      <c r="D109" s="51">
        <f t="shared" ref="D109" si="21">SUM(I109:T109)</f>
        <v>74.3</v>
      </c>
      <c r="E109" s="49">
        <v>800.89</v>
      </c>
      <c r="F109" s="49">
        <f t="shared" ref="F109" si="22">E109/C109</f>
        <v>129.34966352624497</v>
      </c>
      <c r="G109" s="52">
        <f t="shared" ref="G109" si="23">C109/E109</f>
        <v>7.7309826151739525E-3</v>
      </c>
      <c r="I109" s="54">
        <v>0</v>
      </c>
      <c r="J109" s="54">
        <v>0</v>
      </c>
      <c r="K109" s="54">
        <v>74.3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4">D110/B110</f>
        <v>0</v>
      </c>
      <c r="D110" s="51">
        <f t="shared" ref="D110" si="25">SUM(I110:T110)</f>
        <v>0</v>
      </c>
      <c r="E110" s="49">
        <v>800.89</v>
      </c>
      <c r="F110" s="49" t="e">
        <f t="shared" ref="F110" si="26">E110/C110</f>
        <v>#DIV/0!</v>
      </c>
      <c r="G110" s="52">
        <f t="shared" ref="G110" si="27">C110/E110</f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8">D111/B111</f>
        <v>32.895743727598564</v>
      </c>
      <c r="D111" s="51">
        <f t="shared" ref="D111" si="29">SUM(I111:T111)</f>
        <v>394.7489247311828</v>
      </c>
      <c r="E111" s="49">
        <v>800.89</v>
      </c>
      <c r="F111" s="49">
        <f t="shared" ref="F111" si="30">E111/C111</f>
        <v>24.346310776007073</v>
      </c>
      <c r="G111" s="52">
        <f t="shared" ref="G111" si="31">C111/E111</f>
        <v>4.1073984851351081E-2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10.03225806451613</v>
      </c>
      <c r="Q111" s="54">
        <v>384.71666666666664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16">
        <v>2025</v>
      </c>
      <c r="B112" s="9">
        <v>12</v>
      </c>
      <c r="C112" s="51">
        <f t="shared" ref="C112" si="32">D112/B112</f>
        <v>0</v>
      </c>
      <c r="D112" s="51">
        <f t="shared" ref="D112" si="33">SUM(I112:T112)</f>
        <v>0</v>
      </c>
      <c r="E112" s="49">
        <v>800.89</v>
      </c>
      <c r="F112" s="49" t="e">
        <f t="shared" ref="F112" si="34">E112/C112</f>
        <v>#DIV/0!</v>
      </c>
      <c r="G112" s="52">
        <f t="shared" ref="G112" si="35">C112/E112</f>
        <v>0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66406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44140625" style="56" customWidth="1"/>
    <col min="11" max="16" width="9.109375" style="56"/>
    <col min="17" max="17" width="12.109375" style="56" customWidth="1"/>
    <col min="18" max="18" width="9.109375" style="56"/>
    <col min="19" max="19" width="11.88671875" style="56" customWidth="1"/>
    <col min="20" max="20" width="11.44140625" style="56" customWidth="1"/>
    <col min="21" max="16384" width="9.109375" style="40"/>
  </cols>
  <sheetData>
    <row r="1" spans="1:20" ht="15" x14ac:dyDescent="0.25">
      <c r="A1" s="120" t="s">
        <v>37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1916</v>
      </c>
      <c r="B3" s="50">
        <v>12</v>
      </c>
      <c r="C3" s="51">
        <f>D3/B3</f>
        <v>322.24166666666667</v>
      </c>
      <c r="D3" s="51">
        <f>SUM(I3:T3)</f>
        <v>3866.9</v>
      </c>
      <c r="E3" s="49">
        <v>3108.65</v>
      </c>
      <c r="F3" s="49">
        <f>E3/C3</f>
        <v>9.6469523390829863</v>
      </c>
      <c r="G3" s="52">
        <f>C3/E3</f>
        <v>0.10365968078319099</v>
      </c>
      <c r="H3" s="91"/>
      <c r="I3" s="49">
        <v>450.8</v>
      </c>
      <c r="J3" s="49">
        <v>445</v>
      </c>
      <c r="K3" s="49">
        <v>445</v>
      </c>
      <c r="L3" s="49">
        <v>385.4</v>
      </c>
      <c r="M3" s="49">
        <v>270.2</v>
      </c>
      <c r="N3" s="49">
        <v>261.60000000000002</v>
      </c>
      <c r="O3" s="49">
        <v>258.2</v>
      </c>
      <c r="P3" s="49">
        <v>257.60000000000002</v>
      </c>
      <c r="Q3" s="49">
        <v>257</v>
      </c>
      <c r="R3" s="49">
        <v>264.3</v>
      </c>
      <c r="S3" s="49">
        <v>276.39999999999998</v>
      </c>
      <c r="T3" s="49">
        <v>295.39999999999998</v>
      </c>
    </row>
    <row r="4" spans="1:20" s="53" customFormat="1" ht="15.75" customHeight="1" x14ac:dyDescent="0.25">
      <c r="A4" s="50">
        <v>1917</v>
      </c>
      <c r="B4" s="50">
        <v>12</v>
      </c>
      <c r="C4" s="51">
        <f t="shared" ref="C4:C67" si="0">D4/B4</f>
        <v>273</v>
      </c>
      <c r="D4" s="51">
        <f t="shared" ref="D4:D67" si="1">SUM(I4:T4)</f>
        <v>3276</v>
      </c>
      <c r="E4" s="49">
        <v>3108.65</v>
      </c>
      <c r="F4" s="49">
        <f t="shared" ref="F4:F67" si="2">E4/C4</f>
        <v>11.386996336996337</v>
      </c>
      <c r="G4" s="52">
        <f t="shared" ref="G4:G67" si="3">C4/E4</f>
        <v>8.7819471474755925E-2</v>
      </c>
      <c r="I4" s="49">
        <v>317.39999999999998</v>
      </c>
      <c r="J4" s="49">
        <v>316.3</v>
      </c>
      <c r="K4" s="49">
        <v>316.7</v>
      </c>
      <c r="L4" s="49">
        <v>315.39999999999998</v>
      </c>
      <c r="M4" s="49">
        <v>272</v>
      </c>
      <c r="N4" s="49">
        <v>269.60000000000002</v>
      </c>
      <c r="O4" s="49">
        <v>265.7</v>
      </c>
      <c r="P4" s="49">
        <v>257.89999999999998</v>
      </c>
      <c r="Q4" s="49">
        <v>257</v>
      </c>
      <c r="R4" s="49">
        <v>253.9</v>
      </c>
      <c r="S4" s="49">
        <v>237.1</v>
      </c>
      <c r="T4" s="49">
        <v>197</v>
      </c>
    </row>
    <row r="5" spans="1:20" s="53" customFormat="1" ht="15.75" customHeight="1" x14ac:dyDescent="0.25">
      <c r="A5" s="50">
        <v>1918</v>
      </c>
      <c r="B5" s="50">
        <v>12</v>
      </c>
      <c r="C5" s="51">
        <f t="shared" si="0"/>
        <v>180.04999999999998</v>
      </c>
      <c r="D5" s="51">
        <f t="shared" si="1"/>
        <v>2160.6</v>
      </c>
      <c r="E5" s="49">
        <v>3108.65</v>
      </c>
      <c r="F5" s="49">
        <f t="shared" si="2"/>
        <v>17.265481810608165</v>
      </c>
      <c r="G5" s="52">
        <f t="shared" si="3"/>
        <v>5.7919032377398545E-2</v>
      </c>
      <c r="I5" s="49">
        <v>197</v>
      </c>
      <c r="J5" s="49">
        <v>218.3</v>
      </c>
      <c r="K5" s="49">
        <v>242</v>
      </c>
      <c r="L5" s="49">
        <v>242</v>
      </c>
      <c r="M5" s="49">
        <v>242</v>
      </c>
      <c r="N5" s="49">
        <v>231</v>
      </c>
      <c r="O5" s="49">
        <v>132</v>
      </c>
      <c r="P5" s="49">
        <v>129</v>
      </c>
      <c r="Q5" s="49">
        <v>128</v>
      </c>
      <c r="R5" s="49">
        <v>136.69999999999999</v>
      </c>
      <c r="S5" s="49">
        <v>137.6</v>
      </c>
      <c r="T5" s="49">
        <v>125</v>
      </c>
    </row>
    <row r="6" spans="1:20" s="53" customFormat="1" ht="15.75" customHeight="1" x14ac:dyDescent="0.25">
      <c r="A6" s="50">
        <v>1919</v>
      </c>
      <c r="B6" s="50">
        <v>12</v>
      </c>
      <c r="C6" s="51">
        <f t="shared" si="0"/>
        <v>199.04166666666666</v>
      </c>
      <c r="D6" s="51">
        <f t="shared" si="1"/>
        <v>2388.5</v>
      </c>
      <c r="E6" s="49">
        <v>3108.65</v>
      </c>
      <c r="F6" s="49">
        <f t="shared" si="2"/>
        <v>15.618086665271091</v>
      </c>
      <c r="G6" s="52">
        <f t="shared" si="3"/>
        <v>6.4028329553557542E-2</v>
      </c>
      <c r="I6" s="49">
        <v>130</v>
      </c>
      <c r="J6" s="49">
        <v>130</v>
      </c>
      <c r="K6" s="49">
        <v>130</v>
      </c>
      <c r="L6" s="49">
        <v>150.80000000000001</v>
      </c>
      <c r="M6" s="49">
        <v>158</v>
      </c>
      <c r="N6" s="49">
        <v>182</v>
      </c>
      <c r="O6" s="49">
        <v>127.9</v>
      </c>
      <c r="P6" s="49">
        <v>108</v>
      </c>
      <c r="Q6" s="49">
        <v>265.5</v>
      </c>
      <c r="R6" s="49">
        <v>308.3</v>
      </c>
      <c r="S6" s="49">
        <v>351</v>
      </c>
      <c r="T6" s="49">
        <v>347</v>
      </c>
    </row>
    <row r="7" spans="1:20" s="53" customFormat="1" ht="15.75" customHeight="1" x14ac:dyDescent="0.25">
      <c r="A7" s="50">
        <v>1920</v>
      </c>
      <c r="B7" s="50">
        <v>12</v>
      </c>
      <c r="C7" s="51">
        <f t="shared" si="0"/>
        <v>402.05</v>
      </c>
      <c r="D7" s="51">
        <f t="shared" si="1"/>
        <v>4824.6000000000004</v>
      </c>
      <c r="E7" s="49">
        <v>3108.65</v>
      </c>
      <c r="F7" s="49">
        <f t="shared" si="2"/>
        <v>7.7319985076483029</v>
      </c>
      <c r="G7" s="52">
        <f t="shared" si="3"/>
        <v>0.12933266852170555</v>
      </c>
      <c r="I7" s="49">
        <v>376.5</v>
      </c>
      <c r="J7" s="49">
        <v>387.1</v>
      </c>
      <c r="K7" s="49">
        <v>412</v>
      </c>
      <c r="L7" s="49">
        <v>421</v>
      </c>
      <c r="M7" s="49">
        <v>387.7</v>
      </c>
      <c r="N7" s="49">
        <v>374</v>
      </c>
      <c r="O7" s="49">
        <v>526.9</v>
      </c>
      <c r="P7" s="49">
        <v>486.1</v>
      </c>
      <c r="Q7" s="49">
        <v>530.5</v>
      </c>
      <c r="R7" s="49">
        <v>462.2</v>
      </c>
      <c r="S7" s="49">
        <v>257.8</v>
      </c>
      <c r="T7" s="49">
        <v>202.8</v>
      </c>
    </row>
    <row r="8" spans="1:20" s="53" customFormat="1" ht="15.75" customHeight="1" x14ac:dyDescent="0.25">
      <c r="A8" s="50">
        <v>1921</v>
      </c>
      <c r="B8" s="50">
        <v>12</v>
      </c>
      <c r="C8" s="51">
        <f t="shared" si="0"/>
        <v>218.96666666666667</v>
      </c>
      <c r="D8" s="51">
        <f t="shared" si="1"/>
        <v>2627.6</v>
      </c>
      <c r="E8" s="49">
        <v>3108.65</v>
      </c>
      <c r="F8" s="49">
        <f t="shared" si="2"/>
        <v>14.196909727507993</v>
      </c>
      <c r="G8" s="52">
        <f t="shared" si="3"/>
        <v>7.043786423903195E-2</v>
      </c>
      <c r="I8" s="49">
        <v>323</v>
      </c>
      <c r="J8" s="49">
        <v>301.60000000000002</v>
      </c>
      <c r="K8" s="49">
        <v>273</v>
      </c>
      <c r="L8" s="49">
        <v>273</v>
      </c>
      <c r="M8" s="49">
        <v>273</v>
      </c>
      <c r="N8" s="49">
        <v>273</v>
      </c>
      <c r="O8" s="49">
        <v>193</v>
      </c>
      <c r="P8" s="49">
        <v>158.19999999999999</v>
      </c>
      <c r="Q8" s="49">
        <v>110.8</v>
      </c>
      <c r="R8" s="49">
        <v>99.5</v>
      </c>
      <c r="S8" s="49">
        <v>160.5</v>
      </c>
      <c r="T8" s="49">
        <v>189</v>
      </c>
    </row>
    <row r="9" spans="1:20" s="53" customFormat="1" ht="15.75" customHeight="1" x14ac:dyDescent="0.25">
      <c r="A9" s="50">
        <v>1922</v>
      </c>
      <c r="B9" s="50">
        <v>12</v>
      </c>
      <c r="C9" s="51">
        <f t="shared" si="0"/>
        <v>266.3416666666667</v>
      </c>
      <c r="D9" s="51">
        <f t="shared" si="1"/>
        <v>3196.1000000000004</v>
      </c>
      <c r="E9" s="49">
        <v>3108.65</v>
      </c>
      <c r="F9" s="49">
        <f t="shared" si="2"/>
        <v>11.671662338475015</v>
      </c>
      <c r="G9" s="52">
        <f t="shared" si="3"/>
        <v>8.5677598528836219E-2</v>
      </c>
      <c r="I9" s="49">
        <v>189</v>
      </c>
      <c r="J9" s="49">
        <v>189</v>
      </c>
      <c r="K9" s="49">
        <v>216.1</v>
      </c>
      <c r="L9" s="49">
        <v>341.6</v>
      </c>
      <c r="M9" s="49">
        <v>251</v>
      </c>
      <c r="N9" s="49">
        <v>259.3</v>
      </c>
      <c r="O9" s="49">
        <v>236.3</v>
      </c>
      <c r="P9" s="49">
        <v>235</v>
      </c>
      <c r="Q9" s="49">
        <v>291.5</v>
      </c>
      <c r="R9" s="49">
        <v>329.1</v>
      </c>
      <c r="S9" s="49">
        <v>326.3</v>
      </c>
      <c r="T9" s="49">
        <v>331.9</v>
      </c>
    </row>
    <row r="10" spans="1:20" s="53" customFormat="1" ht="15.75" customHeight="1" x14ac:dyDescent="0.25">
      <c r="A10" s="50">
        <v>1923</v>
      </c>
      <c r="B10" s="50">
        <v>12</v>
      </c>
      <c r="C10" s="51">
        <f t="shared" si="0"/>
        <v>379.67500000000001</v>
      </c>
      <c r="D10" s="51">
        <f t="shared" si="1"/>
        <v>4556.1000000000004</v>
      </c>
      <c r="E10" s="49">
        <v>3108.65</v>
      </c>
      <c r="F10" s="49">
        <f t="shared" si="2"/>
        <v>8.1876604991110824</v>
      </c>
      <c r="G10" s="52">
        <f t="shared" si="3"/>
        <v>0.12213501037427822</v>
      </c>
      <c r="I10" s="49">
        <v>376.3</v>
      </c>
      <c r="J10" s="49">
        <v>390</v>
      </c>
      <c r="K10" s="49">
        <v>390</v>
      </c>
      <c r="L10" s="49">
        <v>393.2</v>
      </c>
      <c r="M10" s="49">
        <v>384.5</v>
      </c>
      <c r="N10" s="49">
        <v>370</v>
      </c>
      <c r="O10" s="49">
        <v>370.3</v>
      </c>
      <c r="P10" s="49">
        <v>384</v>
      </c>
      <c r="Q10" s="49">
        <v>348.8</v>
      </c>
      <c r="R10" s="49">
        <v>383</v>
      </c>
      <c r="S10" s="49">
        <v>383</v>
      </c>
      <c r="T10" s="49">
        <v>383</v>
      </c>
    </row>
    <row r="11" spans="1:20" s="53" customFormat="1" ht="15.75" customHeight="1" x14ac:dyDescent="0.25">
      <c r="A11" s="50">
        <v>1924</v>
      </c>
      <c r="B11" s="50">
        <v>12</v>
      </c>
      <c r="C11" s="51">
        <f t="shared" si="0"/>
        <v>191.2166666666667</v>
      </c>
      <c r="D11" s="51">
        <f t="shared" si="1"/>
        <v>2294.6000000000004</v>
      </c>
      <c r="E11" s="49">
        <v>3108.65</v>
      </c>
      <c r="F11" s="49">
        <f t="shared" si="2"/>
        <v>16.257212586071645</v>
      </c>
      <c r="G11" s="52">
        <f t="shared" si="3"/>
        <v>6.151115972099358E-2</v>
      </c>
      <c r="I11" s="49">
        <v>383</v>
      </c>
      <c r="J11" s="49">
        <v>383</v>
      </c>
      <c r="K11" s="49">
        <v>405.8</v>
      </c>
      <c r="L11" s="49">
        <v>414.6</v>
      </c>
      <c r="M11" s="49">
        <v>364.7</v>
      </c>
      <c r="N11" s="49">
        <v>343.5</v>
      </c>
      <c r="O11" s="49"/>
      <c r="P11" s="49"/>
      <c r="Q11" s="49"/>
      <c r="R11" s="49"/>
      <c r="S11" s="49"/>
      <c r="T11" s="49"/>
    </row>
    <row r="12" spans="1:20" s="53" customFormat="1" ht="15.75" customHeight="1" x14ac:dyDescent="0.25">
      <c r="A12" s="50">
        <v>1925</v>
      </c>
      <c r="B12" s="50">
        <v>12</v>
      </c>
      <c r="C12" s="51">
        <f t="shared" si="0"/>
        <v>132.1</v>
      </c>
      <c r="D12" s="51">
        <f t="shared" si="1"/>
        <v>1585.2</v>
      </c>
      <c r="E12" s="49">
        <v>3108.65</v>
      </c>
      <c r="F12" s="49">
        <f t="shared" si="2"/>
        <v>23.532551097653293</v>
      </c>
      <c r="G12" s="52">
        <f t="shared" si="3"/>
        <v>4.2494330336319622E-2</v>
      </c>
      <c r="I12" s="49"/>
      <c r="J12" s="49"/>
      <c r="K12" s="49"/>
      <c r="L12" s="49"/>
      <c r="M12" s="49"/>
      <c r="N12" s="49"/>
      <c r="O12" s="49">
        <v>263.2</v>
      </c>
      <c r="P12" s="49">
        <v>262.3</v>
      </c>
      <c r="Q12" s="49">
        <v>265</v>
      </c>
      <c r="R12" s="49">
        <v>265</v>
      </c>
      <c r="S12" s="49">
        <v>265</v>
      </c>
      <c r="T12" s="49">
        <v>264.7</v>
      </c>
    </row>
    <row r="13" spans="1:20" s="53" customFormat="1" ht="15.75" customHeight="1" x14ac:dyDescent="0.25">
      <c r="A13" s="50">
        <v>1926</v>
      </c>
      <c r="B13" s="50">
        <v>12</v>
      </c>
      <c r="C13" s="51">
        <f t="shared" si="0"/>
        <v>265.73333333333329</v>
      </c>
      <c r="D13" s="51">
        <f t="shared" si="1"/>
        <v>3188.7999999999993</v>
      </c>
      <c r="E13" s="49">
        <v>3108.65</v>
      </c>
      <c r="F13" s="49">
        <f t="shared" si="2"/>
        <v>11.698381836427499</v>
      </c>
      <c r="G13" s="52">
        <f t="shared" si="3"/>
        <v>8.5481908009371679E-2</v>
      </c>
      <c r="I13" s="49">
        <v>271</v>
      </c>
      <c r="J13" s="49">
        <v>270.3</v>
      </c>
      <c r="K13" s="49">
        <v>277.8</v>
      </c>
      <c r="L13" s="49">
        <v>315.8</v>
      </c>
      <c r="M13" s="49">
        <v>300.89999999999998</v>
      </c>
      <c r="N13" s="49">
        <v>265.3</v>
      </c>
      <c r="O13" s="49">
        <v>235.5</v>
      </c>
      <c r="P13" s="49">
        <v>235</v>
      </c>
      <c r="Q13" s="49">
        <v>264</v>
      </c>
      <c r="R13" s="49">
        <v>264</v>
      </c>
      <c r="S13" s="49">
        <v>244.2</v>
      </c>
      <c r="T13" s="49">
        <v>245</v>
      </c>
    </row>
    <row r="14" spans="1:20" s="53" customFormat="1" ht="15.75" customHeight="1" x14ac:dyDescent="0.25">
      <c r="A14" s="50">
        <v>1927</v>
      </c>
      <c r="B14" s="50">
        <v>12</v>
      </c>
      <c r="C14" s="51">
        <f t="shared" si="0"/>
        <v>278.99166666666662</v>
      </c>
      <c r="D14" s="51">
        <f t="shared" si="1"/>
        <v>3347.8999999999996</v>
      </c>
      <c r="E14" s="49">
        <v>3108.65</v>
      </c>
      <c r="F14" s="49">
        <f t="shared" si="2"/>
        <v>11.14244750440575</v>
      </c>
      <c r="G14" s="52">
        <f t="shared" si="3"/>
        <v>8.9746889056878901E-2</v>
      </c>
      <c r="I14" s="49">
        <v>291.3</v>
      </c>
      <c r="J14" s="49">
        <v>296</v>
      </c>
      <c r="K14" s="49">
        <v>295.39999999999998</v>
      </c>
      <c r="L14" s="49">
        <v>333.3</v>
      </c>
      <c r="M14" s="49">
        <v>318</v>
      </c>
      <c r="N14" s="49">
        <v>278.60000000000002</v>
      </c>
      <c r="O14" s="49">
        <v>278</v>
      </c>
      <c r="P14" s="49">
        <v>276.10000000000002</v>
      </c>
      <c r="Q14" s="49">
        <v>276</v>
      </c>
      <c r="R14" s="49">
        <v>276</v>
      </c>
      <c r="S14" s="49">
        <v>232.5</v>
      </c>
      <c r="T14" s="49">
        <v>196.7</v>
      </c>
    </row>
    <row r="15" spans="1:20" s="53" customFormat="1" ht="15.75" customHeight="1" x14ac:dyDescent="0.25">
      <c r="A15" s="50">
        <v>1928</v>
      </c>
      <c r="B15" s="50">
        <v>12</v>
      </c>
      <c r="C15" s="51">
        <f t="shared" si="0"/>
        <v>349.79166666666669</v>
      </c>
      <c r="D15" s="51">
        <f t="shared" si="1"/>
        <v>4197.5</v>
      </c>
      <c r="E15" s="49">
        <v>3108.65</v>
      </c>
      <c r="F15" s="49">
        <f t="shared" si="2"/>
        <v>8.8871471113758194</v>
      </c>
      <c r="G15" s="52">
        <f t="shared" si="3"/>
        <v>0.11252204869209036</v>
      </c>
      <c r="I15" s="49">
        <v>362.4</v>
      </c>
      <c r="J15" s="49">
        <v>379</v>
      </c>
      <c r="K15" s="49">
        <v>379</v>
      </c>
      <c r="L15" s="49">
        <v>380.6</v>
      </c>
      <c r="M15" s="49">
        <v>362.3</v>
      </c>
      <c r="N15" s="49">
        <v>334.1</v>
      </c>
      <c r="O15" s="49">
        <v>340</v>
      </c>
      <c r="P15" s="49">
        <v>340.4</v>
      </c>
      <c r="Q15" s="49">
        <v>334</v>
      </c>
      <c r="R15" s="49">
        <v>339.7</v>
      </c>
      <c r="S15" s="49">
        <v>323</v>
      </c>
      <c r="T15" s="49">
        <v>323</v>
      </c>
    </row>
    <row r="16" spans="1:20" s="53" customFormat="1" ht="15.75" customHeight="1" x14ac:dyDescent="0.25">
      <c r="A16" s="50">
        <v>1929</v>
      </c>
      <c r="B16" s="50">
        <v>12</v>
      </c>
      <c r="C16" s="51">
        <f t="shared" si="0"/>
        <v>292.77499999999998</v>
      </c>
      <c r="D16" s="51">
        <f t="shared" si="1"/>
        <v>3513.2999999999997</v>
      </c>
      <c r="E16" s="49">
        <v>3108.65</v>
      </c>
      <c r="F16" s="49">
        <f t="shared" si="2"/>
        <v>10.61788062505337</v>
      </c>
      <c r="G16" s="52">
        <f t="shared" si="3"/>
        <v>9.4180753703376058E-2</v>
      </c>
      <c r="I16" s="49">
        <v>292.10000000000002</v>
      </c>
      <c r="J16" s="49">
        <v>213.7</v>
      </c>
      <c r="K16" s="49">
        <v>242.6</v>
      </c>
      <c r="L16" s="49">
        <v>328.1</v>
      </c>
      <c r="M16" s="49">
        <v>354.8</v>
      </c>
      <c r="N16" s="49">
        <v>379.3</v>
      </c>
      <c r="O16" s="49">
        <v>301.39999999999998</v>
      </c>
      <c r="P16" s="49">
        <v>264.39999999999998</v>
      </c>
      <c r="Q16" s="49">
        <v>272.7</v>
      </c>
      <c r="R16" s="49">
        <v>274</v>
      </c>
      <c r="S16" s="49">
        <v>282.10000000000002</v>
      </c>
      <c r="T16" s="49">
        <v>308.10000000000002</v>
      </c>
    </row>
    <row r="17" spans="1:22" s="53" customFormat="1" ht="15.75" customHeight="1" x14ac:dyDescent="0.25">
      <c r="A17" s="50">
        <v>1930</v>
      </c>
      <c r="B17" s="50">
        <v>12</v>
      </c>
      <c r="C17" s="51">
        <f t="shared" si="0"/>
        <v>241.625</v>
      </c>
      <c r="D17" s="51">
        <f t="shared" si="1"/>
        <v>2899.5</v>
      </c>
      <c r="E17" s="49">
        <v>3108.65</v>
      </c>
      <c r="F17" s="49">
        <f t="shared" si="2"/>
        <v>12.865597516813244</v>
      </c>
      <c r="G17" s="52">
        <f t="shared" si="3"/>
        <v>7.7726665916072885E-2</v>
      </c>
      <c r="I17" s="49">
        <v>287</v>
      </c>
      <c r="J17" s="49">
        <v>258.39999999999998</v>
      </c>
      <c r="K17" s="49">
        <v>245.1</v>
      </c>
      <c r="L17" s="49">
        <v>238</v>
      </c>
      <c r="M17" s="49">
        <v>242.5</v>
      </c>
      <c r="N17" s="49">
        <v>212.9</v>
      </c>
      <c r="O17" s="49">
        <v>215.8</v>
      </c>
      <c r="P17" s="49">
        <v>222.4</v>
      </c>
      <c r="Q17" s="49">
        <v>234</v>
      </c>
      <c r="R17" s="49">
        <v>237</v>
      </c>
      <c r="S17" s="49">
        <v>172.7</v>
      </c>
      <c r="T17" s="49">
        <v>333.7</v>
      </c>
    </row>
    <row r="18" spans="1:22" s="53" customFormat="1" ht="15.75" customHeight="1" x14ac:dyDescent="0.25">
      <c r="A18" s="50">
        <v>1931</v>
      </c>
      <c r="B18" s="50">
        <v>12</v>
      </c>
      <c r="C18" s="51">
        <f t="shared" si="0"/>
        <v>256.08333333333331</v>
      </c>
      <c r="D18" s="51">
        <f t="shared" si="1"/>
        <v>3072.9999999999995</v>
      </c>
      <c r="E18" s="49">
        <v>3108.65</v>
      </c>
      <c r="F18" s="49">
        <f t="shared" si="2"/>
        <v>12.139212495932314</v>
      </c>
      <c r="G18" s="52">
        <f t="shared" si="3"/>
        <v>8.2377666618414197E-2</v>
      </c>
      <c r="I18" s="49">
        <v>301.39999999999998</v>
      </c>
      <c r="J18" s="49">
        <v>308.7</v>
      </c>
      <c r="K18" s="49">
        <v>326.8</v>
      </c>
      <c r="L18" s="49">
        <v>336</v>
      </c>
      <c r="M18" s="49">
        <v>239.4</v>
      </c>
      <c r="N18" s="49">
        <v>205.9</v>
      </c>
      <c r="O18" s="49">
        <v>205</v>
      </c>
      <c r="P18" s="49">
        <v>211</v>
      </c>
      <c r="Q18" s="49">
        <v>220</v>
      </c>
      <c r="R18" s="49">
        <v>217.6</v>
      </c>
      <c r="S18" s="49">
        <v>248.2</v>
      </c>
      <c r="T18" s="49">
        <v>253</v>
      </c>
    </row>
    <row r="19" spans="1:22" s="53" customFormat="1" ht="15.75" customHeight="1" x14ac:dyDescent="0.25">
      <c r="A19" s="50">
        <v>1932</v>
      </c>
      <c r="B19" s="50">
        <v>12</v>
      </c>
      <c r="C19" s="51">
        <f t="shared" si="0"/>
        <v>274.14166666666665</v>
      </c>
      <c r="D19" s="51">
        <f t="shared" si="1"/>
        <v>3289.7</v>
      </c>
      <c r="E19" s="49">
        <v>3108.65</v>
      </c>
      <c r="F19" s="49">
        <f t="shared" si="2"/>
        <v>11.33957503723744</v>
      </c>
      <c r="G19" s="52">
        <f t="shared" si="3"/>
        <v>8.8186726285257797E-2</v>
      </c>
      <c r="I19" s="49">
        <v>252.1</v>
      </c>
      <c r="J19" s="49">
        <v>255.3</v>
      </c>
      <c r="K19" s="49">
        <v>302.2</v>
      </c>
      <c r="L19" s="49">
        <v>306.5</v>
      </c>
      <c r="M19" s="49">
        <v>329.8</v>
      </c>
      <c r="N19" s="49">
        <v>282</v>
      </c>
      <c r="O19" s="49">
        <v>270</v>
      </c>
      <c r="P19" s="49">
        <v>259</v>
      </c>
      <c r="Q19" s="49">
        <v>259</v>
      </c>
      <c r="R19" s="49">
        <v>258.8</v>
      </c>
      <c r="S19" s="49">
        <v>258</v>
      </c>
      <c r="T19" s="49">
        <v>257</v>
      </c>
    </row>
    <row r="20" spans="1:22" s="53" customFormat="1" ht="15.75" customHeight="1" x14ac:dyDescent="0.25">
      <c r="A20" s="50">
        <v>1933</v>
      </c>
      <c r="B20" s="50">
        <v>12</v>
      </c>
      <c r="C20" s="51">
        <f t="shared" si="0"/>
        <v>251.27500000000001</v>
      </c>
      <c r="D20" s="51">
        <f t="shared" si="1"/>
        <v>3015.3</v>
      </c>
      <c r="E20" s="49">
        <v>3108.65</v>
      </c>
      <c r="F20" s="49">
        <f t="shared" si="2"/>
        <v>12.371505322853448</v>
      </c>
      <c r="G20" s="52">
        <f t="shared" si="3"/>
        <v>8.0830907307030381E-2</v>
      </c>
      <c r="I20" s="49">
        <v>257</v>
      </c>
      <c r="J20" s="49">
        <v>257</v>
      </c>
      <c r="K20" s="49">
        <v>257</v>
      </c>
      <c r="L20" s="49">
        <v>257</v>
      </c>
      <c r="M20" s="49">
        <v>244.3</v>
      </c>
      <c r="N20" s="49">
        <v>249</v>
      </c>
      <c r="O20" s="49">
        <v>249</v>
      </c>
      <c r="P20" s="49">
        <v>249</v>
      </c>
      <c r="Q20" s="49">
        <v>249</v>
      </c>
      <c r="R20" s="49">
        <v>249</v>
      </c>
      <c r="S20" s="49">
        <v>249</v>
      </c>
      <c r="T20" s="49">
        <v>249</v>
      </c>
    </row>
    <row r="21" spans="1:22" s="53" customFormat="1" ht="15.75" customHeight="1" x14ac:dyDescent="0.25">
      <c r="A21" s="50">
        <v>1934</v>
      </c>
      <c r="B21" s="50">
        <v>12</v>
      </c>
      <c r="C21" s="51">
        <f t="shared" si="0"/>
        <v>214.125</v>
      </c>
      <c r="D21" s="51">
        <f t="shared" si="1"/>
        <v>2569.5</v>
      </c>
      <c r="E21" s="49">
        <v>3108.65</v>
      </c>
      <c r="F21" s="49">
        <f t="shared" si="2"/>
        <v>14.517921774664332</v>
      </c>
      <c r="G21" s="52">
        <f t="shared" si="3"/>
        <v>6.8880382159458284E-2</v>
      </c>
      <c r="I21" s="49">
        <v>230.5</v>
      </c>
      <c r="J21" s="49">
        <v>216</v>
      </c>
      <c r="K21" s="49">
        <v>216</v>
      </c>
      <c r="L21" s="49">
        <v>188.1</v>
      </c>
      <c r="M21" s="49">
        <v>214</v>
      </c>
      <c r="N21" s="49">
        <v>214</v>
      </c>
      <c r="O21" s="49">
        <v>214</v>
      </c>
      <c r="P21" s="49">
        <v>213</v>
      </c>
      <c r="Q21" s="49">
        <v>213</v>
      </c>
      <c r="R21" s="49">
        <v>213.5</v>
      </c>
      <c r="S21" s="49">
        <v>208</v>
      </c>
      <c r="T21" s="49">
        <v>229.4</v>
      </c>
    </row>
    <row r="22" spans="1:22" s="53" customFormat="1" ht="15.75" customHeight="1" x14ac:dyDescent="0.25">
      <c r="A22" s="50">
        <v>1935</v>
      </c>
      <c r="B22" s="50">
        <v>12</v>
      </c>
      <c r="C22" s="51">
        <f t="shared" si="0"/>
        <v>247.60833333333332</v>
      </c>
      <c r="D22" s="51">
        <f t="shared" si="1"/>
        <v>2971.2999999999997</v>
      </c>
      <c r="E22" s="49">
        <v>3108.65</v>
      </c>
      <c r="F22" s="49">
        <f t="shared" si="2"/>
        <v>12.554706694039647</v>
      </c>
      <c r="G22" s="52">
        <f t="shared" si="3"/>
        <v>7.9651402806148422E-2</v>
      </c>
      <c r="I22" s="49">
        <v>275.10000000000002</v>
      </c>
      <c r="J22" s="49">
        <v>273</v>
      </c>
      <c r="K22" s="49">
        <v>273</v>
      </c>
      <c r="L22" s="49">
        <v>273</v>
      </c>
      <c r="M22" s="49">
        <v>258.10000000000002</v>
      </c>
      <c r="N22" s="49">
        <v>245.3</v>
      </c>
      <c r="O22" s="49">
        <v>232</v>
      </c>
      <c r="P22" s="49">
        <v>231.7</v>
      </c>
      <c r="Q22" s="49">
        <v>231</v>
      </c>
      <c r="R22" s="49">
        <v>227.1</v>
      </c>
      <c r="S22" s="49">
        <v>226</v>
      </c>
      <c r="T22" s="49">
        <v>226</v>
      </c>
    </row>
    <row r="23" spans="1:22" s="53" customFormat="1" ht="15.75" customHeight="1" x14ac:dyDescent="0.25">
      <c r="A23" s="50">
        <v>1936</v>
      </c>
      <c r="B23" s="50">
        <v>12</v>
      </c>
      <c r="C23" s="51">
        <f t="shared" si="0"/>
        <v>252.80833333333337</v>
      </c>
      <c r="D23" s="51">
        <f t="shared" si="1"/>
        <v>3033.7000000000003</v>
      </c>
      <c r="E23" s="49">
        <v>3108.65</v>
      </c>
      <c r="F23" s="49">
        <f t="shared" si="2"/>
        <v>12.296469657513926</v>
      </c>
      <c r="G23" s="52">
        <f t="shared" si="3"/>
        <v>8.1324154643762844E-2</v>
      </c>
      <c r="I23" s="49">
        <v>300</v>
      </c>
      <c r="J23" s="49">
        <v>303</v>
      </c>
      <c r="K23" s="49">
        <v>315.7</v>
      </c>
      <c r="L23" s="49">
        <v>287.10000000000002</v>
      </c>
      <c r="M23" s="49">
        <v>256</v>
      </c>
      <c r="N23" s="49">
        <v>256</v>
      </c>
      <c r="O23" s="49">
        <v>256</v>
      </c>
      <c r="P23" s="49">
        <v>254.3</v>
      </c>
      <c r="Q23" s="49">
        <v>253.1</v>
      </c>
      <c r="R23" s="49">
        <v>240.9</v>
      </c>
      <c r="S23" s="49">
        <v>221.6</v>
      </c>
      <c r="T23" s="49">
        <v>90</v>
      </c>
      <c r="V23" s="48"/>
    </row>
    <row r="24" spans="1:22" s="53" customFormat="1" ht="15.75" customHeight="1" x14ac:dyDescent="0.25">
      <c r="A24" s="50">
        <v>1937</v>
      </c>
      <c r="B24" s="50">
        <v>12</v>
      </c>
      <c r="C24" s="51">
        <f t="shared" si="0"/>
        <v>98.325000000000003</v>
      </c>
      <c r="D24" s="51">
        <f t="shared" si="1"/>
        <v>1179.9000000000001</v>
      </c>
      <c r="E24" s="49">
        <v>1455.86</v>
      </c>
      <c r="F24" s="49">
        <f t="shared" si="2"/>
        <v>14.806610729722857</v>
      </c>
      <c r="G24" s="52">
        <f t="shared" si="3"/>
        <v>6.7537400574231049E-2</v>
      </c>
      <c r="I24" s="49">
        <v>98</v>
      </c>
      <c r="J24" s="49">
        <v>98</v>
      </c>
      <c r="K24" s="49">
        <v>98</v>
      </c>
      <c r="L24" s="49">
        <v>104.3</v>
      </c>
      <c r="M24" s="49">
        <v>102.9</v>
      </c>
      <c r="N24" s="49">
        <v>97.2</v>
      </c>
      <c r="O24" s="49">
        <v>98</v>
      </c>
      <c r="P24" s="49">
        <v>98</v>
      </c>
      <c r="Q24" s="49">
        <v>98</v>
      </c>
      <c r="R24" s="49">
        <v>98</v>
      </c>
      <c r="S24" s="49">
        <v>91.5</v>
      </c>
      <c r="T24" s="49">
        <v>98</v>
      </c>
    </row>
    <row r="25" spans="1:22" s="53" customFormat="1" ht="15.75" customHeight="1" x14ac:dyDescent="0.25">
      <c r="A25" s="50">
        <v>1938</v>
      </c>
      <c r="B25" s="50">
        <v>12</v>
      </c>
      <c r="C25" s="51">
        <f t="shared" si="0"/>
        <v>103.43333333333334</v>
      </c>
      <c r="D25" s="51">
        <f t="shared" si="1"/>
        <v>1241.2</v>
      </c>
      <c r="E25" s="49">
        <v>1455.86</v>
      </c>
      <c r="F25" s="49">
        <f t="shared" si="2"/>
        <v>14.075346438930065</v>
      </c>
      <c r="G25" s="52">
        <f t="shared" si="3"/>
        <v>7.1046208655594176E-2</v>
      </c>
      <c r="I25" s="49">
        <v>98</v>
      </c>
      <c r="J25" s="49">
        <v>98</v>
      </c>
      <c r="K25" s="49">
        <v>96.4</v>
      </c>
      <c r="L25" s="49">
        <v>102.3</v>
      </c>
      <c r="M25" s="49">
        <v>108</v>
      </c>
      <c r="N25" s="49">
        <v>108</v>
      </c>
      <c r="O25" s="49">
        <v>107.7</v>
      </c>
      <c r="P25" s="49">
        <v>107</v>
      </c>
      <c r="Q25" s="49">
        <v>107</v>
      </c>
      <c r="R25" s="49">
        <v>106.8</v>
      </c>
      <c r="S25" s="49">
        <v>101</v>
      </c>
      <c r="T25" s="49">
        <v>101</v>
      </c>
    </row>
    <row r="26" spans="1:22" s="53" customFormat="1" ht="15.75" customHeight="1" x14ac:dyDescent="0.25">
      <c r="A26" s="50">
        <v>1939</v>
      </c>
      <c r="B26" s="50">
        <v>12</v>
      </c>
      <c r="C26" s="51">
        <f t="shared" si="0"/>
        <v>102.51666666666667</v>
      </c>
      <c r="D26" s="51">
        <f t="shared" si="1"/>
        <v>1230.2</v>
      </c>
      <c r="E26" s="49">
        <v>1455.86</v>
      </c>
      <c r="F26" s="49">
        <f t="shared" si="2"/>
        <v>14.20120305641359</v>
      </c>
      <c r="G26" s="52">
        <f t="shared" si="3"/>
        <v>7.0416569358775341E-2</v>
      </c>
      <c r="I26" s="49">
        <v>101</v>
      </c>
      <c r="J26" s="49">
        <v>101</v>
      </c>
      <c r="K26" s="49">
        <v>101</v>
      </c>
      <c r="L26" s="49">
        <v>107</v>
      </c>
      <c r="M26" s="49">
        <v>107</v>
      </c>
      <c r="N26" s="49">
        <v>106.3</v>
      </c>
      <c r="O26" s="49">
        <v>105.2</v>
      </c>
      <c r="P26" s="49">
        <v>104.2</v>
      </c>
      <c r="Q26" s="49">
        <v>104</v>
      </c>
      <c r="R26" s="49">
        <v>104</v>
      </c>
      <c r="S26" s="49">
        <v>98.6</v>
      </c>
      <c r="T26" s="49">
        <v>90.9</v>
      </c>
    </row>
    <row r="27" spans="1:22" s="53" customFormat="1" ht="15.75" customHeight="1" x14ac:dyDescent="0.25">
      <c r="A27" s="50">
        <v>1940</v>
      </c>
      <c r="B27" s="50">
        <v>12</v>
      </c>
      <c r="C27" s="51">
        <f t="shared" si="0"/>
        <v>91.375</v>
      </c>
      <c r="D27" s="51">
        <f t="shared" si="1"/>
        <v>1096.5</v>
      </c>
      <c r="E27" s="49">
        <v>1455.86</v>
      </c>
      <c r="F27" s="49">
        <f t="shared" si="2"/>
        <v>15.932804377564979</v>
      </c>
      <c r="G27" s="52">
        <f t="shared" si="3"/>
        <v>6.2763589905622794E-2</v>
      </c>
      <c r="I27" s="49">
        <v>88</v>
      </c>
      <c r="J27" s="49">
        <v>88</v>
      </c>
      <c r="K27" s="49">
        <v>88</v>
      </c>
      <c r="L27" s="49">
        <v>93</v>
      </c>
      <c r="M27" s="49">
        <v>93</v>
      </c>
      <c r="N27" s="49">
        <v>93</v>
      </c>
      <c r="O27" s="49">
        <v>92.6</v>
      </c>
      <c r="P27" s="49">
        <v>92</v>
      </c>
      <c r="Q27" s="49">
        <v>92</v>
      </c>
      <c r="R27" s="49">
        <v>93</v>
      </c>
      <c r="S27" s="49">
        <v>93</v>
      </c>
      <c r="T27" s="49">
        <v>90.9</v>
      </c>
    </row>
    <row r="28" spans="1:22" s="53" customFormat="1" ht="15.75" customHeight="1" x14ac:dyDescent="0.25">
      <c r="A28" s="50">
        <v>1941</v>
      </c>
      <c r="B28" s="50">
        <v>12</v>
      </c>
      <c r="C28" s="51">
        <f t="shared" si="0"/>
        <v>88.63333333333334</v>
      </c>
      <c r="D28" s="51">
        <f t="shared" si="1"/>
        <v>1063.6000000000001</v>
      </c>
      <c r="E28" s="49">
        <v>1455.86</v>
      </c>
      <c r="F28" s="49">
        <f t="shared" si="2"/>
        <v>16.425648740127865</v>
      </c>
      <c r="G28" s="52">
        <f t="shared" si="3"/>
        <v>6.0880396008773749E-2</v>
      </c>
      <c r="I28" s="49">
        <v>87.1</v>
      </c>
      <c r="J28" s="49">
        <v>86</v>
      </c>
      <c r="K28" s="49">
        <v>88.1</v>
      </c>
      <c r="L28" s="49">
        <v>93</v>
      </c>
      <c r="M28" s="49">
        <v>93</v>
      </c>
      <c r="N28" s="49">
        <v>93</v>
      </c>
      <c r="O28" s="49">
        <v>92.6</v>
      </c>
      <c r="P28" s="49">
        <v>93</v>
      </c>
      <c r="Q28" s="49">
        <v>93</v>
      </c>
      <c r="R28" s="49">
        <v>89.3</v>
      </c>
      <c r="S28" s="49">
        <v>77.599999999999994</v>
      </c>
      <c r="T28" s="49">
        <v>77.900000000000006</v>
      </c>
    </row>
    <row r="29" spans="1:22" s="53" customFormat="1" ht="15.75" customHeight="1" x14ac:dyDescent="0.25">
      <c r="A29" s="50">
        <v>1942</v>
      </c>
      <c r="B29" s="50">
        <v>12</v>
      </c>
      <c r="C29" s="51">
        <f t="shared" si="0"/>
        <v>90.25</v>
      </c>
      <c r="D29" s="51">
        <f t="shared" si="1"/>
        <v>1083</v>
      </c>
      <c r="E29" s="49">
        <v>1455.86</v>
      </c>
      <c r="F29" s="49">
        <f t="shared" si="2"/>
        <v>16.13141274238227</v>
      </c>
      <c r="G29" s="52">
        <f t="shared" si="3"/>
        <v>6.1990850768617864E-2</v>
      </c>
      <c r="I29" s="49">
        <v>89</v>
      </c>
      <c r="J29" s="49">
        <v>89</v>
      </c>
      <c r="K29" s="49">
        <v>89</v>
      </c>
      <c r="L29" s="49">
        <v>89.1</v>
      </c>
      <c r="M29" s="49">
        <v>92.1</v>
      </c>
      <c r="N29" s="49">
        <v>98</v>
      </c>
      <c r="O29" s="49">
        <v>93</v>
      </c>
      <c r="P29" s="49">
        <v>94.5</v>
      </c>
      <c r="Q29" s="49">
        <v>96</v>
      </c>
      <c r="R29" s="49">
        <v>87.8</v>
      </c>
      <c r="S29" s="49">
        <v>77.5</v>
      </c>
      <c r="T29" s="49">
        <v>88</v>
      </c>
    </row>
    <row r="30" spans="1:22" s="53" customFormat="1" ht="15.75" customHeight="1" x14ac:dyDescent="0.25">
      <c r="A30" s="50">
        <v>1943</v>
      </c>
      <c r="B30" s="50">
        <v>12</v>
      </c>
      <c r="C30" s="51">
        <f t="shared" si="0"/>
        <v>89.09999999999998</v>
      </c>
      <c r="D30" s="51">
        <f t="shared" si="1"/>
        <v>1069.1999999999998</v>
      </c>
      <c r="E30" s="49">
        <v>1455.86</v>
      </c>
      <c r="F30" s="49">
        <f t="shared" si="2"/>
        <v>16.339618406285076</v>
      </c>
      <c r="G30" s="52">
        <f t="shared" si="3"/>
        <v>6.1200939650790591E-2</v>
      </c>
      <c r="I30" s="49">
        <v>88</v>
      </c>
      <c r="J30" s="49">
        <v>88</v>
      </c>
      <c r="K30" s="49">
        <v>88</v>
      </c>
      <c r="L30" s="49">
        <v>93</v>
      </c>
      <c r="M30" s="49">
        <v>92.5</v>
      </c>
      <c r="N30" s="49">
        <v>92.8</v>
      </c>
      <c r="O30" s="49">
        <v>93</v>
      </c>
      <c r="P30" s="49">
        <v>93.4</v>
      </c>
      <c r="Q30" s="49">
        <v>94</v>
      </c>
      <c r="R30" s="49">
        <v>87.3</v>
      </c>
      <c r="S30" s="49">
        <v>69</v>
      </c>
      <c r="T30" s="49">
        <v>90.2</v>
      </c>
    </row>
    <row r="31" spans="1:22" s="53" customFormat="1" ht="15.75" customHeight="1" x14ac:dyDescent="0.25">
      <c r="A31" s="50">
        <v>1944</v>
      </c>
      <c r="B31" s="50">
        <v>12</v>
      </c>
      <c r="C31" s="51">
        <f t="shared" si="0"/>
        <v>88.966666666666683</v>
      </c>
      <c r="D31" s="51">
        <f t="shared" si="1"/>
        <v>1067.6000000000001</v>
      </c>
      <c r="E31" s="49">
        <v>1455.86</v>
      </c>
      <c r="F31" s="49">
        <f t="shared" si="2"/>
        <v>16.364106406893963</v>
      </c>
      <c r="G31" s="52">
        <f t="shared" si="3"/>
        <v>6.1109355753071512E-2</v>
      </c>
      <c r="I31" s="49">
        <v>88</v>
      </c>
      <c r="J31" s="49">
        <v>88</v>
      </c>
      <c r="K31" s="49">
        <v>86.1</v>
      </c>
      <c r="L31" s="49">
        <v>90.1</v>
      </c>
      <c r="M31" s="49">
        <v>92</v>
      </c>
      <c r="N31" s="49">
        <v>92.6</v>
      </c>
      <c r="O31" s="49">
        <v>94</v>
      </c>
      <c r="P31" s="49">
        <v>95.9</v>
      </c>
      <c r="Q31" s="49">
        <v>96</v>
      </c>
      <c r="R31" s="49">
        <v>71.2</v>
      </c>
      <c r="S31" s="49">
        <v>85.7</v>
      </c>
      <c r="T31" s="49">
        <v>88</v>
      </c>
    </row>
    <row r="32" spans="1:22" s="53" customFormat="1" ht="15.75" customHeight="1" x14ac:dyDescent="0.25">
      <c r="A32" s="50">
        <v>1945</v>
      </c>
      <c r="B32" s="50">
        <v>12</v>
      </c>
      <c r="C32" s="51">
        <f t="shared" si="0"/>
        <v>88.341666666666654</v>
      </c>
      <c r="D32" s="51">
        <f t="shared" si="1"/>
        <v>1060.0999999999999</v>
      </c>
      <c r="E32" s="49">
        <v>1455.86</v>
      </c>
      <c r="F32" s="49">
        <f t="shared" si="2"/>
        <v>16.4798792566739</v>
      </c>
      <c r="G32" s="52">
        <f t="shared" si="3"/>
        <v>6.0680056232513192E-2</v>
      </c>
      <c r="I32" s="49">
        <v>88</v>
      </c>
      <c r="J32" s="49">
        <v>88</v>
      </c>
      <c r="K32" s="49">
        <v>88</v>
      </c>
      <c r="L32" s="49">
        <v>93</v>
      </c>
      <c r="M32" s="49">
        <v>90.4</v>
      </c>
      <c r="N32" s="49">
        <v>92.4</v>
      </c>
      <c r="O32" s="49">
        <v>93</v>
      </c>
      <c r="P32" s="49">
        <v>93</v>
      </c>
      <c r="Q32" s="49">
        <v>92.8</v>
      </c>
      <c r="R32" s="49">
        <v>93</v>
      </c>
      <c r="S32" s="49">
        <v>60.5</v>
      </c>
      <c r="T32" s="49">
        <v>88</v>
      </c>
    </row>
    <row r="33" spans="1:20" s="53" customFormat="1" ht="15.75" customHeight="1" x14ac:dyDescent="0.25">
      <c r="A33" s="50">
        <v>1946</v>
      </c>
      <c r="B33" s="50">
        <v>12</v>
      </c>
      <c r="C33" s="51">
        <f t="shared" si="0"/>
        <v>89.975000000000009</v>
      </c>
      <c r="D33" s="51">
        <f t="shared" si="1"/>
        <v>1079.7</v>
      </c>
      <c r="E33" s="49">
        <v>1455.86</v>
      </c>
      <c r="F33" s="49">
        <f t="shared" si="2"/>
        <v>16.18071686579605</v>
      </c>
      <c r="G33" s="52">
        <f t="shared" si="3"/>
        <v>6.1801958979572219E-2</v>
      </c>
      <c r="I33" s="49">
        <v>88</v>
      </c>
      <c r="J33" s="49">
        <v>88</v>
      </c>
      <c r="K33" s="49">
        <v>88</v>
      </c>
      <c r="L33" s="49">
        <v>93</v>
      </c>
      <c r="M33" s="49">
        <v>93</v>
      </c>
      <c r="N33" s="49">
        <v>93</v>
      </c>
      <c r="O33" s="49">
        <v>93</v>
      </c>
      <c r="P33" s="49">
        <v>93</v>
      </c>
      <c r="Q33" s="49">
        <v>93</v>
      </c>
      <c r="R33" s="49">
        <v>93</v>
      </c>
      <c r="S33" s="49">
        <v>76.7</v>
      </c>
      <c r="T33" s="49">
        <v>88</v>
      </c>
    </row>
    <row r="34" spans="1:20" s="53" customFormat="1" ht="15.75" customHeight="1" x14ac:dyDescent="0.25">
      <c r="A34" s="50">
        <v>1947</v>
      </c>
      <c r="B34" s="50">
        <v>12</v>
      </c>
      <c r="C34" s="51">
        <f t="shared" si="0"/>
        <v>83.558333333333323</v>
      </c>
      <c r="D34" s="51">
        <f t="shared" si="1"/>
        <v>1002.6999999999999</v>
      </c>
      <c r="E34" s="49">
        <v>1455.86</v>
      </c>
      <c r="F34" s="49">
        <f t="shared" si="2"/>
        <v>17.423277151690439</v>
      </c>
      <c r="G34" s="52">
        <f t="shared" si="3"/>
        <v>5.7394483901840376E-2</v>
      </c>
      <c r="I34" s="49">
        <v>88</v>
      </c>
      <c r="J34" s="49">
        <v>88</v>
      </c>
      <c r="K34" s="49">
        <v>88.4</v>
      </c>
      <c r="L34" s="49">
        <v>92.4</v>
      </c>
      <c r="M34" s="49">
        <v>92</v>
      </c>
      <c r="N34" s="49">
        <v>92</v>
      </c>
      <c r="O34" s="49">
        <v>92</v>
      </c>
      <c r="P34" s="49">
        <v>92</v>
      </c>
      <c r="Q34" s="49">
        <v>92</v>
      </c>
      <c r="R34" s="49">
        <v>69.900000000000006</v>
      </c>
      <c r="S34" s="49">
        <v>58</v>
      </c>
      <c r="T34" s="49">
        <v>58</v>
      </c>
    </row>
    <row r="35" spans="1:20" s="53" customFormat="1" ht="15.75" customHeight="1" x14ac:dyDescent="0.25">
      <c r="A35" s="50">
        <v>1948</v>
      </c>
      <c r="B35" s="50">
        <v>12</v>
      </c>
      <c r="C35" s="51">
        <f t="shared" si="0"/>
        <v>61.483333333333341</v>
      </c>
      <c r="D35" s="51">
        <f t="shared" si="1"/>
        <v>737.80000000000007</v>
      </c>
      <c r="E35" s="49">
        <v>1455.86</v>
      </c>
      <c r="F35" s="49">
        <f t="shared" si="2"/>
        <v>23.678937381404168</v>
      </c>
      <c r="G35" s="52">
        <f t="shared" si="3"/>
        <v>4.223162483572139E-2</v>
      </c>
      <c r="I35" s="49">
        <v>58</v>
      </c>
      <c r="J35" s="49">
        <v>58</v>
      </c>
      <c r="K35" s="49">
        <v>61</v>
      </c>
      <c r="L35" s="49">
        <v>62</v>
      </c>
      <c r="M35" s="49">
        <v>61.8</v>
      </c>
      <c r="N35" s="49">
        <v>65</v>
      </c>
      <c r="O35" s="49">
        <v>65</v>
      </c>
      <c r="P35" s="49">
        <v>64.3</v>
      </c>
      <c r="Q35" s="49">
        <v>64</v>
      </c>
      <c r="R35" s="49">
        <v>64</v>
      </c>
      <c r="S35" s="49">
        <v>64</v>
      </c>
      <c r="T35" s="49">
        <v>50.7</v>
      </c>
    </row>
    <row r="36" spans="1:20" s="53" customFormat="1" ht="15.75" customHeight="1" x14ac:dyDescent="0.25">
      <c r="A36" s="50">
        <v>1949</v>
      </c>
      <c r="B36" s="50">
        <v>12</v>
      </c>
      <c r="C36" s="51">
        <f t="shared" si="0"/>
        <v>54.066666666666663</v>
      </c>
      <c r="D36" s="51">
        <f t="shared" si="1"/>
        <v>648.79999999999995</v>
      </c>
      <c r="E36" s="49">
        <v>1455.86</v>
      </c>
      <c r="F36" s="49">
        <f t="shared" si="2"/>
        <v>26.927127003699137</v>
      </c>
      <c r="G36" s="52">
        <f t="shared" si="3"/>
        <v>3.7137270525096279E-2</v>
      </c>
      <c r="I36" s="49">
        <v>50</v>
      </c>
      <c r="J36" s="49">
        <v>49.6</v>
      </c>
      <c r="K36" s="49">
        <v>49.4</v>
      </c>
      <c r="L36" s="49">
        <v>54.5</v>
      </c>
      <c r="M36" s="49">
        <v>55</v>
      </c>
      <c r="N36" s="49">
        <v>55</v>
      </c>
      <c r="O36" s="49">
        <v>55</v>
      </c>
      <c r="P36" s="49">
        <v>55</v>
      </c>
      <c r="Q36" s="49">
        <v>55</v>
      </c>
      <c r="R36" s="49">
        <v>55</v>
      </c>
      <c r="S36" s="49">
        <v>55.3</v>
      </c>
      <c r="T36" s="49">
        <v>60</v>
      </c>
    </row>
    <row r="37" spans="1:20" s="53" customFormat="1" ht="15.75" customHeight="1" x14ac:dyDescent="0.25">
      <c r="A37" s="50">
        <v>1950</v>
      </c>
      <c r="B37" s="50">
        <v>12</v>
      </c>
      <c r="C37" s="51">
        <f t="shared" si="0"/>
        <v>63.533333333333331</v>
      </c>
      <c r="D37" s="51">
        <f t="shared" si="1"/>
        <v>762.4</v>
      </c>
      <c r="E37" s="49">
        <v>1455.86</v>
      </c>
      <c r="F37" s="49">
        <f t="shared" si="2"/>
        <v>22.914900314795382</v>
      </c>
      <c r="G37" s="52">
        <f t="shared" si="3"/>
        <v>4.3639727263152593E-2</v>
      </c>
      <c r="I37" s="49">
        <v>60</v>
      </c>
      <c r="J37" s="49">
        <v>60</v>
      </c>
      <c r="K37" s="49">
        <v>58.3</v>
      </c>
      <c r="L37" s="49">
        <v>64</v>
      </c>
      <c r="M37" s="49">
        <v>64</v>
      </c>
      <c r="N37" s="49">
        <v>64</v>
      </c>
      <c r="O37" s="49">
        <v>64</v>
      </c>
      <c r="P37" s="49">
        <v>64</v>
      </c>
      <c r="Q37" s="49">
        <v>64</v>
      </c>
      <c r="R37" s="49">
        <v>64</v>
      </c>
      <c r="S37" s="49">
        <v>66.099999999999994</v>
      </c>
      <c r="T37" s="49">
        <v>70</v>
      </c>
    </row>
    <row r="38" spans="1:20" s="53" customFormat="1" ht="15.75" customHeight="1" x14ac:dyDescent="0.25">
      <c r="A38" s="50">
        <v>1951</v>
      </c>
      <c r="B38" s="50">
        <v>12</v>
      </c>
      <c r="C38" s="51">
        <f t="shared" si="0"/>
        <v>72.00833333333334</v>
      </c>
      <c r="D38" s="51">
        <f t="shared" si="1"/>
        <v>864.10000000000014</v>
      </c>
      <c r="E38" s="49">
        <v>1455.86</v>
      </c>
      <c r="F38" s="49">
        <f t="shared" si="2"/>
        <v>20.217937738687649</v>
      </c>
      <c r="G38" s="52">
        <f t="shared" si="3"/>
        <v>4.9461028761923084E-2</v>
      </c>
      <c r="I38" s="49">
        <v>70</v>
      </c>
      <c r="J38" s="49">
        <v>70</v>
      </c>
      <c r="K38" s="49">
        <v>72.099999999999994</v>
      </c>
      <c r="L38" s="49">
        <v>74</v>
      </c>
      <c r="M38" s="49">
        <v>68.099999999999994</v>
      </c>
      <c r="N38" s="49">
        <v>65</v>
      </c>
      <c r="O38" s="49">
        <v>65</v>
      </c>
      <c r="P38" s="49">
        <v>76.2</v>
      </c>
      <c r="Q38" s="49">
        <v>77</v>
      </c>
      <c r="R38" s="49">
        <v>77</v>
      </c>
      <c r="S38" s="49">
        <v>74.7</v>
      </c>
      <c r="T38" s="49">
        <v>75</v>
      </c>
    </row>
    <row r="39" spans="1:20" s="53" customFormat="1" ht="15.75" customHeight="1" x14ac:dyDescent="0.25">
      <c r="A39" s="50">
        <v>1952</v>
      </c>
      <c r="B39" s="50">
        <v>12</v>
      </c>
      <c r="C39" s="51">
        <f t="shared" si="0"/>
        <v>78.008333333333326</v>
      </c>
      <c r="D39" s="51">
        <f t="shared" si="1"/>
        <v>936.09999999999991</v>
      </c>
      <c r="E39" s="49">
        <v>1455.86</v>
      </c>
      <c r="F39" s="49">
        <f t="shared" si="2"/>
        <v>18.662877897660508</v>
      </c>
      <c r="G39" s="52">
        <f t="shared" si="3"/>
        <v>5.3582304159282716E-2</v>
      </c>
      <c r="I39" s="49">
        <v>75</v>
      </c>
      <c r="J39" s="49">
        <v>75</v>
      </c>
      <c r="K39" s="49">
        <v>76.599999999999994</v>
      </c>
      <c r="L39" s="49">
        <v>80</v>
      </c>
      <c r="M39" s="49">
        <v>82</v>
      </c>
      <c r="N39" s="49">
        <v>80</v>
      </c>
      <c r="O39" s="49">
        <v>82.8</v>
      </c>
      <c r="P39" s="49">
        <v>83</v>
      </c>
      <c r="Q39" s="49">
        <v>82</v>
      </c>
      <c r="R39" s="49">
        <v>81.900000000000006</v>
      </c>
      <c r="S39" s="49">
        <v>72.900000000000006</v>
      </c>
      <c r="T39" s="49">
        <v>64.900000000000006</v>
      </c>
    </row>
    <row r="40" spans="1:20" s="53" customFormat="1" ht="15.75" customHeight="1" x14ac:dyDescent="0.25">
      <c r="A40" s="50">
        <v>1953</v>
      </c>
      <c r="B40" s="50">
        <v>12</v>
      </c>
      <c r="C40" s="51">
        <f t="shared" si="0"/>
        <v>65.45</v>
      </c>
      <c r="D40" s="51">
        <f t="shared" si="1"/>
        <v>785.40000000000009</v>
      </c>
      <c r="E40" s="49">
        <v>1455.86</v>
      </c>
      <c r="F40" s="49">
        <f t="shared" si="2"/>
        <v>22.243850267379678</v>
      </c>
      <c r="G40" s="52">
        <f t="shared" si="3"/>
        <v>4.4956245792864703E-2</v>
      </c>
      <c r="I40" s="49">
        <v>74</v>
      </c>
      <c r="J40" s="49">
        <v>74.7</v>
      </c>
      <c r="K40" s="49">
        <v>75.3</v>
      </c>
      <c r="L40" s="49">
        <v>79</v>
      </c>
      <c r="M40" s="49">
        <v>71</v>
      </c>
      <c r="N40" s="49">
        <v>66</v>
      </c>
      <c r="O40" s="49">
        <v>66</v>
      </c>
      <c r="P40" s="49">
        <v>66</v>
      </c>
      <c r="Q40" s="49">
        <v>66</v>
      </c>
      <c r="R40" s="49">
        <v>54.7</v>
      </c>
      <c r="S40" s="49">
        <v>32.700000000000003</v>
      </c>
      <c r="T40" s="49">
        <v>60</v>
      </c>
    </row>
    <row r="41" spans="1:20" s="53" customFormat="1" ht="15.75" customHeight="1" x14ac:dyDescent="0.25">
      <c r="A41" s="50">
        <v>1954</v>
      </c>
      <c r="B41" s="50">
        <v>12</v>
      </c>
      <c r="C41" s="51">
        <f t="shared" si="0"/>
        <v>64.941666666666663</v>
      </c>
      <c r="D41" s="51">
        <f t="shared" si="1"/>
        <v>779.3</v>
      </c>
      <c r="E41" s="49">
        <v>1455.86</v>
      </c>
      <c r="F41" s="49">
        <f t="shared" si="2"/>
        <v>22.417964840241243</v>
      </c>
      <c r="G41" s="52">
        <f t="shared" si="3"/>
        <v>4.460708218281062E-2</v>
      </c>
      <c r="I41" s="49">
        <v>60</v>
      </c>
      <c r="J41" s="49">
        <v>60</v>
      </c>
      <c r="K41" s="49">
        <v>65</v>
      </c>
      <c r="L41" s="49">
        <v>64.900000000000006</v>
      </c>
      <c r="M41" s="49">
        <v>64.7</v>
      </c>
      <c r="N41" s="49">
        <v>65</v>
      </c>
      <c r="O41" s="49">
        <v>65</v>
      </c>
      <c r="P41" s="49">
        <v>65</v>
      </c>
      <c r="Q41" s="49">
        <v>65</v>
      </c>
      <c r="R41" s="49">
        <v>60.9</v>
      </c>
      <c r="S41" s="49">
        <v>68.8</v>
      </c>
      <c r="T41" s="49">
        <v>75</v>
      </c>
    </row>
    <row r="42" spans="1:20" s="53" customFormat="1" ht="15.75" customHeight="1" x14ac:dyDescent="0.25">
      <c r="A42" s="50">
        <v>1955</v>
      </c>
      <c r="B42" s="50">
        <v>12</v>
      </c>
      <c r="C42" s="51">
        <f t="shared" si="0"/>
        <v>77.849999999999994</v>
      </c>
      <c r="D42" s="51">
        <f t="shared" si="1"/>
        <v>934.19999999999993</v>
      </c>
      <c r="E42" s="49">
        <v>1455.86</v>
      </c>
      <c r="F42" s="49">
        <f t="shared" si="2"/>
        <v>18.700834938985228</v>
      </c>
      <c r="G42" s="52">
        <f t="shared" si="3"/>
        <v>5.347354828074128E-2</v>
      </c>
      <c r="I42" s="49">
        <v>75</v>
      </c>
      <c r="J42" s="49">
        <v>75</v>
      </c>
      <c r="K42" s="49">
        <v>80.5</v>
      </c>
      <c r="L42" s="49">
        <v>81</v>
      </c>
      <c r="M42" s="49">
        <v>81.8</v>
      </c>
      <c r="N42" s="49">
        <v>82</v>
      </c>
      <c r="O42" s="49">
        <v>82</v>
      </c>
      <c r="P42" s="49">
        <v>81.099999999999994</v>
      </c>
      <c r="Q42" s="49">
        <v>81</v>
      </c>
      <c r="R42" s="49">
        <v>81</v>
      </c>
      <c r="S42" s="49">
        <v>58.8</v>
      </c>
      <c r="T42" s="49">
        <v>75</v>
      </c>
    </row>
    <row r="43" spans="1:20" s="53" customFormat="1" ht="15.75" customHeight="1" x14ac:dyDescent="0.25">
      <c r="A43" s="50">
        <v>1956</v>
      </c>
      <c r="B43" s="50">
        <v>12</v>
      </c>
      <c r="C43" s="51">
        <f t="shared" si="0"/>
        <v>76.241666666666674</v>
      </c>
      <c r="D43" s="51">
        <f t="shared" si="1"/>
        <v>914.90000000000009</v>
      </c>
      <c r="E43" s="49">
        <v>1455.86</v>
      </c>
      <c r="F43" s="49">
        <f t="shared" si="2"/>
        <v>19.095332823259369</v>
      </c>
      <c r="G43" s="52">
        <f t="shared" si="3"/>
        <v>5.2368817514504611E-2</v>
      </c>
      <c r="I43" s="49">
        <v>75</v>
      </c>
      <c r="J43" s="49">
        <v>75</v>
      </c>
      <c r="K43" s="49">
        <v>85</v>
      </c>
      <c r="L43" s="49">
        <v>84.7</v>
      </c>
      <c r="M43" s="49">
        <v>84</v>
      </c>
      <c r="N43" s="49">
        <v>84</v>
      </c>
      <c r="O43" s="49">
        <v>84</v>
      </c>
      <c r="P43" s="49">
        <v>84</v>
      </c>
      <c r="Q43" s="49">
        <v>84</v>
      </c>
      <c r="R43" s="49">
        <v>75.2</v>
      </c>
      <c r="S43" s="49">
        <v>50</v>
      </c>
      <c r="T43" s="49">
        <v>50</v>
      </c>
    </row>
    <row r="44" spans="1:20" s="53" customFormat="1" ht="15.75" customHeight="1" x14ac:dyDescent="0.25">
      <c r="A44" s="50">
        <v>1957</v>
      </c>
      <c r="B44" s="50">
        <v>12</v>
      </c>
      <c r="C44" s="51">
        <f t="shared" si="0"/>
        <v>54.133333333333333</v>
      </c>
      <c r="D44" s="51">
        <f t="shared" si="1"/>
        <v>649.6</v>
      </c>
      <c r="E44" s="49">
        <v>1455.86</v>
      </c>
      <c r="F44" s="49">
        <f t="shared" si="2"/>
        <v>26.893965517241377</v>
      </c>
      <c r="G44" s="52">
        <f t="shared" si="3"/>
        <v>3.7183062473955829E-2</v>
      </c>
      <c r="I44" s="49">
        <v>50</v>
      </c>
      <c r="J44" s="49">
        <v>50</v>
      </c>
      <c r="K44" s="49">
        <v>54.6</v>
      </c>
      <c r="L44" s="49">
        <v>54.9</v>
      </c>
      <c r="M44" s="49">
        <v>55</v>
      </c>
      <c r="N44" s="49">
        <v>55</v>
      </c>
      <c r="O44" s="49">
        <v>55</v>
      </c>
      <c r="P44" s="49">
        <v>53.2</v>
      </c>
      <c r="Q44" s="49">
        <v>57.6</v>
      </c>
      <c r="R44" s="49">
        <v>51.1</v>
      </c>
      <c r="S44" s="49">
        <v>53.2</v>
      </c>
      <c r="T44" s="49">
        <v>60</v>
      </c>
    </row>
    <row r="45" spans="1:20" s="53" customFormat="1" ht="15.75" customHeight="1" x14ac:dyDescent="0.25">
      <c r="A45" s="50">
        <v>1958</v>
      </c>
      <c r="B45" s="50">
        <v>12</v>
      </c>
      <c r="C45" s="51">
        <f t="shared" si="0"/>
        <v>64.283333333333331</v>
      </c>
      <c r="D45" s="51">
        <f t="shared" si="1"/>
        <v>771.4</v>
      </c>
      <c r="E45" s="49">
        <v>1455.86</v>
      </c>
      <c r="F45" s="49">
        <f t="shared" si="2"/>
        <v>22.647549909255897</v>
      </c>
      <c r="G45" s="52">
        <f t="shared" si="3"/>
        <v>4.4154886687822546E-2</v>
      </c>
      <c r="I45" s="49">
        <v>60</v>
      </c>
      <c r="J45" s="49">
        <v>60</v>
      </c>
      <c r="K45" s="49">
        <v>65</v>
      </c>
      <c r="L45" s="49">
        <v>65</v>
      </c>
      <c r="M45" s="49">
        <v>65</v>
      </c>
      <c r="N45" s="49">
        <v>65</v>
      </c>
      <c r="O45" s="49">
        <v>65</v>
      </c>
      <c r="P45" s="49">
        <v>65</v>
      </c>
      <c r="Q45" s="49">
        <v>65</v>
      </c>
      <c r="R45" s="49">
        <v>50.9</v>
      </c>
      <c r="S45" s="49">
        <v>70.5</v>
      </c>
      <c r="T45" s="49">
        <v>75</v>
      </c>
    </row>
    <row r="46" spans="1:20" s="53" customFormat="1" ht="15.75" customHeight="1" x14ac:dyDescent="0.25">
      <c r="A46" s="50">
        <v>1959</v>
      </c>
      <c r="B46" s="50">
        <v>12</v>
      </c>
      <c r="C46" s="51">
        <f t="shared" si="0"/>
        <v>72.86666666666666</v>
      </c>
      <c r="D46" s="51">
        <f t="shared" si="1"/>
        <v>874.4</v>
      </c>
      <c r="E46" s="49">
        <v>1455.86</v>
      </c>
      <c r="F46" s="49">
        <f t="shared" si="2"/>
        <v>19.97978042086002</v>
      </c>
      <c r="G46" s="52">
        <f t="shared" si="3"/>
        <v>5.0050600103489801E-2</v>
      </c>
      <c r="I46" s="49">
        <v>75</v>
      </c>
      <c r="J46" s="49">
        <v>75</v>
      </c>
      <c r="K46" s="49">
        <v>80</v>
      </c>
      <c r="L46" s="49">
        <v>80</v>
      </c>
      <c r="M46" s="49">
        <v>79.400000000000006</v>
      </c>
      <c r="N46" s="49">
        <v>79</v>
      </c>
      <c r="O46" s="49">
        <v>79</v>
      </c>
      <c r="P46" s="49">
        <v>79</v>
      </c>
      <c r="Q46" s="49">
        <v>79</v>
      </c>
      <c r="R46" s="49">
        <v>79</v>
      </c>
      <c r="S46" s="49">
        <v>29.9</v>
      </c>
      <c r="T46" s="49">
        <v>60.1</v>
      </c>
    </row>
    <row r="47" spans="1:20" s="53" customFormat="1" ht="15.75" customHeight="1" x14ac:dyDescent="0.25">
      <c r="A47" s="50">
        <v>1960</v>
      </c>
      <c r="B47" s="50">
        <v>12</v>
      </c>
      <c r="C47" s="51">
        <f t="shared" si="0"/>
        <v>53.133333333333333</v>
      </c>
      <c r="D47" s="51">
        <f t="shared" si="1"/>
        <v>637.6</v>
      </c>
      <c r="E47" s="49">
        <v>1455.86</v>
      </c>
      <c r="F47" s="49">
        <f t="shared" si="2"/>
        <v>27.400125470514428</v>
      </c>
      <c r="G47" s="52">
        <f t="shared" si="3"/>
        <v>3.649618324106256E-2</v>
      </c>
      <c r="I47" s="49">
        <v>52.8</v>
      </c>
      <c r="J47" s="49">
        <v>52.7</v>
      </c>
      <c r="K47" s="49">
        <v>52.8</v>
      </c>
      <c r="L47" s="49">
        <v>58</v>
      </c>
      <c r="M47" s="49">
        <v>60</v>
      </c>
      <c r="N47" s="49">
        <v>60</v>
      </c>
      <c r="O47" s="49">
        <v>49.5</v>
      </c>
      <c r="P47" s="49">
        <v>51.8</v>
      </c>
      <c r="Q47" s="49">
        <v>60</v>
      </c>
      <c r="R47" s="49">
        <v>60</v>
      </c>
      <c r="S47" s="49">
        <v>44</v>
      </c>
      <c r="T47" s="49">
        <v>36</v>
      </c>
    </row>
    <row r="48" spans="1:20" s="53" customFormat="1" ht="15.75" customHeight="1" x14ac:dyDescent="0.25">
      <c r="A48" s="50">
        <v>1961</v>
      </c>
      <c r="B48" s="50">
        <v>12</v>
      </c>
      <c r="C48" s="51">
        <f t="shared" si="0"/>
        <v>61.016666666666673</v>
      </c>
      <c r="D48" s="51">
        <f t="shared" si="1"/>
        <v>732.2</v>
      </c>
      <c r="E48" s="49">
        <v>1455.86</v>
      </c>
      <c r="F48" s="49">
        <f t="shared" si="2"/>
        <v>23.860038240917778</v>
      </c>
      <c r="G48" s="52">
        <f t="shared" si="3"/>
        <v>4.1911081193704527E-2</v>
      </c>
      <c r="I48" s="49">
        <v>60</v>
      </c>
      <c r="J48" s="49">
        <v>60.1</v>
      </c>
      <c r="K48" s="49">
        <v>64</v>
      </c>
      <c r="L48" s="49">
        <v>64</v>
      </c>
      <c r="M48" s="49">
        <v>63.6</v>
      </c>
      <c r="N48" s="49">
        <v>64</v>
      </c>
      <c r="O48" s="49">
        <v>64</v>
      </c>
      <c r="P48" s="49">
        <v>64</v>
      </c>
      <c r="Q48" s="49">
        <v>64</v>
      </c>
      <c r="R48" s="49">
        <v>60.8</v>
      </c>
      <c r="S48" s="49">
        <v>51.7</v>
      </c>
      <c r="T48" s="49">
        <v>52</v>
      </c>
    </row>
    <row r="49" spans="1:22" s="53" customFormat="1" ht="15.75" customHeight="1" x14ac:dyDescent="0.25">
      <c r="A49" s="50">
        <v>1962</v>
      </c>
      <c r="B49" s="50">
        <v>12</v>
      </c>
      <c r="C49" s="51">
        <f t="shared" si="0"/>
        <v>51.391666666666673</v>
      </c>
      <c r="D49" s="51">
        <f t="shared" si="1"/>
        <v>616.70000000000005</v>
      </c>
      <c r="E49" s="49">
        <v>1455.86</v>
      </c>
      <c r="F49" s="49">
        <f t="shared" si="2"/>
        <v>28.328717366628826</v>
      </c>
      <c r="G49" s="52">
        <f t="shared" si="3"/>
        <v>3.5299868577106777E-2</v>
      </c>
      <c r="I49" s="49">
        <v>52</v>
      </c>
      <c r="J49" s="49">
        <v>52</v>
      </c>
      <c r="K49" s="49">
        <v>55</v>
      </c>
      <c r="L49" s="49">
        <v>55</v>
      </c>
      <c r="M49" s="49">
        <v>55</v>
      </c>
      <c r="N49" s="49">
        <v>55</v>
      </c>
      <c r="O49" s="49">
        <v>55</v>
      </c>
      <c r="P49" s="49">
        <v>55</v>
      </c>
      <c r="Q49" s="49">
        <v>55</v>
      </c>
      <c r="R49" s="49">
        <v>44.5</v>
      </c>
      <c r="S49" s="49">
        <v>43.2</v>
      </c>
      <c r="T49" s="49">
        <v>40</v>
      </c>
    </row>
    <row r="50" spans="1:22" s="53" customFormat="1" ht="15.75" customHeight="1" x14ac:dyDescent="0.25">
      <c r="A50" s="50">
        <v>1963</v>
      </c>
      <c r="B50" s="50">
        <v>12</v>
      </c>
      <c r="C50" s="51">
        <f t="shared" si="0"/>
        <v>43.408333333333331</v>
      </c>
      <c r="D50" s="51">
        <f t="shared" si="1"/>
        <v>520.9</v>
      </c>
      <c r="E50" s="49">
        <v>1455.86</v>
      </c>
      <c r="F50" s="49">
        <f t="shared" si="2"/>
        <v>33.538721443655213</v>
      </c>
      <c r="G50" s="52">
        <f t="shared" si="3"/>
        <v>2.9816282701175482E-2</v>
      </c>
      <c r="I50" s="49">
        <v>40</v>
      </c>
      <c r="J50" s="49">
        <v>40</v>
      </c>
      <c r="K50" s="49">
        <v>43</v>
      </c>
      <c r="L50" s="49">
        <v>44.6</v>
      </c>
      <c r="M50" s="49">
        <v>46</v>
      </c>
      <c r="N50" s="49">
        <v>46</v>
      </c>
      <c r="O50" s="49">
        <v>46</v>
      </c>
      <c r="P50" s="49">
        <v>46</v>
      </c>
      <c r="Q50" s="49">
        <v>46</v>
      </c>
      <c r="R50" s="49">
        <v>46.7</v>
      </c>
      <c r="S50" s="49">
        <v>32.5</v>
      </c>
      <c r="T50" s="49">
        <v>44.1</v>
      </c>
    </row>
    <row r="51" spans="1:22" s="53" customFormat="1" ht="15.75" customHeight="1" x14ac:dyDescent="0.25">
      <c r="A51" s="50">
        <v>1964</v>
      </c>
      <c r="B51" s="50">
        <v>12</v>
      </c>
      <c r="C51" s="51">
        <f t="shared" si="0"/>
        <v>46.991666666666667</v>
      </c>
      <c r="D51" s="51">
        <f t="shared" si="1"/>
        <v>563.9</v>
      </c>
      <c r="E51" s="49">
        <v>1455.86</v>
      </c>
      <c r="F51" s="49">
        <f t="shared" si="2"/>
        <v>30.981237808122003</v>
      </c>
      <c r="G51" s="52">
        <f t="shared" si="3"/>
        <v>3.2277599952376376E-2</v>
      </c>
      <c r="I51" s="49">
        <v>46</v>
      </c>
      <c r="J51" s="49">
        <v>46</v>
      </c>
      <c r="K51" s="49">
        <v>50</v>
      </c>
      <c r="L51" s="49">
        <v>50</v>
      </c>
      <c r="M51" s="49">
        <v>50</v>
      </c>
      <c r="N51" s="49">
        <v>50</v>
      </c>
      <c r="O51" s="49">
        <v>50</v>
      </c>
      <c r="P51" s="49">
        <v>50</v>
      </c>
      <c r="Q51" s="49">
        <v>50</v>
      </c>
      <c r="R51" s="49">
        <v>50</v>
      </c>
      <c r="S51" s="49">
        <v>31.9</v>
      </c>
      <c r="T51" s="49">
        <v>40</v>
      </c>
    </row>
    <row r="52" spans="1:22" s="53" customFormat="1" ht="15.75" customHeight="1" x14ac:dyDescent="0.25">
      <c r="A52" s="50">
        <v>1965</v>
      </c>
      <c r="B52" s="50">
        <v>12</v>
      </c>
      <c r="C52" s="51">
        <f t="shared" si="0"/>
        <v>44.19166666666667</v>
      </c>
      <c r="D52" s="51">
        <f t="shared" si="1"/>
        <v>530.30000000000007</v>
      </c>
      <c r="E52" s="49">
        <v>1455.86</v>
      </c>
      <c r="F52" s="49">
        <f t="shared" si="2"/>
        <v>32.944220252687153</v>
      </c>
      <c r="G52" s="52">
        <f t="shared" si="3"/>
        <v>3.0354338100275213E-2</v>
      </c>
      <c r="I52" s="49">
        <v>44.8</v>
      </c>
      <c r="J52" s="49">
        <v>44.8</v>
      </c>
      <c r="K52" s="49">
        <v>48.2</v>
      </c>
      <c r="L52" s="49">
        <v>48.8</v>
      </c>
      <c r="M52" s="49">
        <v>47.7</v>
      </c>
      <c r="N52" s="49">
        <v>44</v>
      </c>
      <c r="O52" s="49">
        <v>49.2</v>
      </c>
      <c r="P52" s="49">
        <v>54</v>
      </c>
      <c r="Q52" s="49">
        <v>54</v>
      </c>
      <c r="R52" s="49">
        <v>44.6</v>
      </c>
      <c r="S52" s="49">
        <v>38.1</v>
      </c>
      <c r="T52" s="49">
        <v>12.1</v>
      </c>
    </row>
    <row r="53" spans="1:22" s="53" customFormat="1" ht="15.75" customHeight="1" x14ac:dyDescent="0.25">
      <c r="A53" s="50">
        <v>1966</v>
      </c>
      <c r="B53" s="50">
        <v>12</v>
      </c>
      <c r="C53" s="51">
        <f t="shared" si="0"/>
        <v>24.55</v>
      </c>
      <c r="D53" s="51">
        <f t="shared" si="1"/>
        <v>294.60000000000002</v>
      </c>
      <c r="E53" s="49">
        <v>1455.86</v>
      </c>
      <c r="F53" s="49">
        <f t="shared" si="2"/>
        <v>59.301832993890017</v>
      </c>
      <c r="G53" s="52">
        <f t="shared" si="3"/>
        <v>1.6862885167529845E-2</v>
      </c>
      <c r="I53" s="49">
        <v>24</v>
      </c>
      <c r="J53" s="49">
        <v>24</v>
      </c>
      <c r="K53" s="49">
        <v>26</v>
      </c>
      <c r="L53" s="49">
        <v>26</v>
      </c>
      <c r="M53" s="49">
        <v>26</v>
      </c>
      <c r="N53" s="49">
        <v>26</v>
      </c>
      <c r="O53" s="49">
        <v>26</v>
      </c>
      <c r="P53" s="49">
        <v>26</v>
      </c>
      <c r="Q53" s="49">
        <v>26</v>
      </c>
      <c r="R53" s="49">
        <v>26</v>
      </c>
      <c r="S53" s="49">
        <v>15.6</v>
      </c>
      <c r="T53" s="49">
        <v>23</v>
      </c>
    </row>
    <row r="54" spans="1:22" s="53" customFormat="1" ht="15.75" customHeight="1" x14ac:dyDescent="0.25">
      <c r="A54" s="50">
        <v>1967</v>
      </c>
      <c r="B54" s="50">
        <v>12</v>
      </c>
      <c r="C54" s="51">
        <f t="shared" si="0"/>
        <v>29.925000000000001</v>
      </c>
      <c r="D54" s="51">
        <f t="shared" si="1"/>
        <v>359.1</v>
      </c>
      <c r="E54" s="49">
        <v>1455.86</v>
      </c>
      <c r="F54" s="49">
        <f t="shared" si="2"/>
        <v>48.650292397660813</v>
      </c>
      <c r="G54" s="52">
        <f t="shared" si="3"/>
        <v>2.0554861044331189E-2</v>
      </c>
      <c r="I54" s="49">
        <v>23</v>
      </c>
      <c r="J54" s="49">
        <v>23</v>
      </c>
      <c r="K54" s="49">
        <v>23</v>
      </c>
      <c r="L54" s="49">
        <v>24.8</v>
      </c>
      <c r="M54" s="49">
        <v>25</v>
      </c>
      <c r="N54" s="49">
        <v>25</v>
      </c>
      <c r="O54" s="49">
        <v>48</v>
      </c>
      <c r="P54" s="49">
        <v>48</v>
      </c>
      <c r="Q54" s="49">
        <v>48</v>
      </c>
      <c r="R54" s="49">
        <v>25</v>
      </c>
      <c r="S54" s="49">
        <v>23.3</v>
      </c>
      <c r="T54" s="49">
        <v>23</v>
      </c>
    </row>
    <row r="55" spans="1:22" s="53" customFormat="1" ht="15.75" customHeight="1" x14ac:dyDescent="0.25">
      <c r="A55" s="50">
        <v>1968</v>
      </c>
      <c r="B55" s="50">
        <v>12</v>
      </c>
      <c r="C55" s="51">
        <f t="shared" si="0"/>
        <v>25.916666666666668</v>
      </c>
      <c r="D55" s="51">
        <f t="shared" si="1"/>
        <v>311</v>
      </c>
      <c r="E55" s="49">
        <v>1455.86</v>
      </c>
      <c r="F55" s="49">
        <f t="shared" si="2"/>
        <v>56.174662379421214</v>
      </c>
      <c r="G55" s="52">
        <f t="shared" si="3"/>
        <v>1.7801620119150652E-2</v>
      </c>
      <c r="I55" s="49">
        <v>23</v>
      </c>
      <c r="J55" s="49">
        <v>23</v>
      </c>
      <c r="K55" s="49">
        <v>23.7</v>
      </c>
      <c r="L55" s="49">
        <v>24</v>
      </c>
      <c r="M55" s="49">
        <v>24.2</v>
      </c>
      <c r="N55" s="49">
        <v>30</v>
      </c>
      <c r="O55" s="49">
        <v>30</v>
      </c>
      <c r="P55" s="49">
        <v>30</v>
      </c>
      <c r="Q55" s="49">
        <v>30</v>
      </c>
      <c r="R55" s="49">
        <v>20.3</v>
      </c>
      <c r="S55" s="49">
        <v>19.8</v>
      </c>
      <c r="T55" s="49">
        <v>33</v>
      </c>
    </row>
    <row r="56" spans="1:22" s="53" customFormat="1" ht="15.75" customHeight="1" x14ac:dyDescent="0.25">
      <c r="A56" s="50">
        <v>1969</v>
      </c>
      <c r="B56" s="50">
        <v>12</v>
      </c>
      <c r="C56" s="51">
        <f t="shared" si="0"/>
        <v>12.241666666666667</v>
      </c>
      <c r="D56" s="51">
        <f t="shared" si="1"/>
        <v>146.9</v>
      </c>
      <c r="E56" s="49">
        <v>1455.86</v>
      </c>
      <c r="F56" s="49">
        <f t="shared" si="2"/>
        <v>118.92661674608576</v>
      </c>
      <c r="G56" s="52">
        <f t="shared" si="3"/>
        <v>8.4085466093351477E-3</v>
      </c>
      <c r="I56" s="49">
        <v>33</v>
      </c>
      <c r="J56" s="49">
        <v>33</v>
      </c>
      <c r="K56" s="49">
        <v>33</v>
      </c>
      <c r="L56" s="49">
        <v>33</v>
      </c>
      <c r="M56" s="49">
        <v>14.9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2" s="53" customFormat="1" ht="15.75" customHeight="1" x14ac:dyDescent="0.25">
      <c r="A57" s="50">
        <v>1970</v>
      </c>
      <c r="B57" s="50">
        <v>12</v>
      </c>
      <c r="C57" s="51">
        <f t="shared" si="0"/>
        <v>0</v>
      </c>
      <c r="D57" s="51">
        <f t="shared" si="1"/>
        <v>0</v>
      </c>
      <c r="E57" s="49">
        <v>1455.86</v>
      </c>
      <c r="F57" s="49" t="e">
        <f t="shared" si="2"/>
        <v>#DIV/0!</v>
      </c>
      <c r="G57" s="52">
        <f t="shared" si="3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2" s="53" customFormat="1" ht="15.75" customHeight="1" x14ac:dyDescent="0.25">
      <c r="A58" s="50">
        <v>1971</v>
      </c>
      <c r="B58" s="50">
        <v>12</v>
      </c>
      <c r="C58" s="51">
        <f t="shared" si="0"/>
        <v>65.875</v>
      </c>
      <c r="D58" s="51">
        <f t="shared" si="1"/>
        <v>790.5</v>
      </c>
      <c r="E58" s="49">
        <v>1455.86</v>
      </c>
      <c r="F58" s="49">
        <f t="shared" si="2"/>
        <v>22.100341555977227</v>
      </c>
      <c r="G58" s="52">
        <f t="shared" si="3"/>
        <v>4.5248169466844346E-2</v>
      </c>
      <c r="I58" s="49">
        <v>0</v>
      </c>
      <c r="J58" s="49">
        <v>0</v>
      </c>
      <c r="K58" s="49">
        <v>23.3</v>
      </c>
      <c r="L58" s="49">
        <v>81</v>
      </c>
      <c r="M58" s="49">
        <v>81</v>
      </c>
      <c r="N58" s="49">
        <v>81.7</v>
      </c>
      <c r="O58" s="49">
        <v>88.5</v>
      </c>
      <c r="P58" s="49">
        <v>90</v>
      </c>
      <c r="Q58" s="49">
        <v>90</v>
      </c>
      <c r="R58" s="49">
        <v>85</v>
      </c>
      <c r="S58" s="49">
        <v>85</v>
      </c>
      <c r="T58" s="49">
        <v>85</v>
      </c>
    </row>
    <row r="59" spans="1:22" s="53" customFormat="1" ht="15.75" customHeight="1" x14ac:dyDescent="0.25">
      <c r="A59" s="50">
        <v>1972</v>
      </c>
      <c r="B59" s="50">
        <v>12</v>
      </c>
      <c r="C59" s="51">
        <f t="shared" si="0"/>
        <v>24.008333333333336</v>
      </c>
      <c r="D59" s="51">
        <f t="shared" si="1"/>
        <v>288.10000000000002</v>
      </c>
      <c r="E59" s="49">
        <v>1455.86</v>
      </c>
      <c r="F59" s="49">
        <f t="shared" si="2"/>
        <v>60.639777854911479</v>
      </c>
      <c r="G59" s="52">
        <f t="shared" si="3"/>
        <v>1.6490825583045991E-2</v>
      </c>
      <c r="I59" s="49">
        <v>85</v>
      </c>
      <c r="J59" s="49">
        <v>85</v>
      </c>
      <c r="K59" s="49">
        <v>88.1</v>
      </c>
      <c r="L59" s="49">
        <v>30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2" s="53" customFormat="1" ht="15.75" customHeight="1" x14ac:dyDescent="0.25">
      <c r="A60" s="50">
        <v>1973</v>
      </c>
      <c r="B60" s="50">
        <v>12</v>
      </c>
      <c r="C60" s="51">
        <f t="shared" si="0"/>
        <v>114.89166666666667</v>
      </c>
      <c r="D60" s="51">
        <f t="shared" si="1"/>
        <v>1378.7</v>
      </c>
      <c r="E60" s="49">
        <v>1455.86</v>
      </c>
      <c r="F60" s="49">
        <f t="shared" si="2"/>
        <v>12.671589178211358</v>
      </c>
      <c r="G60" s="52">
        <f t="shared" si="3"/>
        <v>7.8916699865829595E-2</v>
      </c>
      <c r="I60" s="49">
        <v>0</v>
      </c>
      <c r="J60" s="49">
        <v>0</v>
      </c>
      <c r="K60" s="49">
        <v>77</v>
      </c>
      <c r="L60" s="49">
        <v>178</v>
      </c>
      <c r="M60" s="49">
        <v>178</v>
      </c>
      <c r="N60" s="49">
        <v>178</v>
      </c>
      <c r="O60" s="49">
        <v>176.2</v>
      </c>
      <c r="P60" s="49">
        <v>174</v>
      </c>
      <c r="Q60" s="49">
        <v>173</v>
      </c>
      <c r="R60" s="49">
        <v>173</v>
      </c>
      <c r="S60" s="49">
        <v>71.5</v>
      </c>
      <c r="T60" s="49">
        <v>0</v>
      </c>
    </row>
    <row r="61" spans="1:22" s="53" customFormat="1" ht="15.75" customHeight="1" x14ac:dyDescent="0.25">
      <c r="A61" s="50">
        <v>1974</v>
      </c>
      <c r="B61" s="50">
        <v>12</v>
      </c>
      <c r="C61" s="51">
        <f t="shared" si="0"/>
        <v>19.591666666666665</v>
      </c>
      <c r="D61" s="51">
        <f t="shared" si="1"/>
        <v>235.1</v>
      </c>
      <c r="E61" s="49">
        <v>1455.86</v>
      </c>
      <c r="F61" s="49">
        <f t="shared" si="2"/>
        <v>74.310165886856652</v>
      </c>
      <c r="G61" s="52">
        <f t="shared" si="3"/>
        <v>1.34571089711007E-2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63.1</v>
      </c>
      <c r="T61" s="49">
        <v>172</v>
      </c>
    </row>
    <row r="62" spans="1:22" s="53" customFormat="1" ht="15.75" customHeight="1" x14ac:dyDescent="0.25">
      <c r="A62" s="50">
        <v>1975</v>
      </c>
      <c r="B62" s="50">
        <v>12</v>
      </c>
      <c r="C62" s="51">
        <f t="shared" si="0"/>
        <v>30.183333333333334</v>
      </c>
      <c r="D62" s="51">
        <f t="shared" si="1"/>
        <v>362.2</v>
      </c>
      <c r="E62" s="49">
        <v>1455.86</v>
      </c>
      <c r="F62" s="49">
        <f t="shared" si="2"/>
        <v>48.233903920485915</v>
      </c>
      <c r="G62" s="52">
        <f t="shared" si="3"/>
        <v>2.073230484616195E-2</v>
      </c>
      <c r="I62" s="49">
        <v>172</v>
      </c>
      <c r="J62" s="49">
        <v>172</v>
      </c>
      <c r="K62" s="49">
        <v>18.2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</row>
    <row r="63" spans="1:22" s="53" customFormat="1" ht="15.75" customHeight="1" x14ac:dyDescent="0.25">
      <c r="A63" s="50">
        <v>1976</v>
      </c>
      <c r="B63" s="50">
        <v>12</v>
      </c>
      <c r="C63" s="51">
        <f t="shared" si="0"/>
        <v>118.79166666666667</v>
      </c>
      <c r="D63" s="51">
        <f t="shared" si="1"/>
        <v>1425.5</v>
      </c>
      <c r="E63" s="49">
        <v>1455.86</v>
      </c>
      <c r="F63" s="49">
        <f t="shared" si="2"/>
        <v>12.255573482988424</v>
      </c>
      <c r="G63" s="52">
        <f t="shared" si="3"/>
        <v>8.1595528874113366E-2</v>
      </c>
      <c r="I63" s="49">
        <v>0</v>
      </c>
      <c r="J63" s="49">
        <v>0</v>
      </c>
      <c r="K63" s="49">
        <v>154.5</v>
      </c>
      <c r="L63" s="49">
        <v>179</v>
      </c>
      <c r="M63" s="49">
        <v>175</v>
      </c>
      <c r="N63" s="49">
        <v>175</v>
      </c>
      <c r="O63" s="49">
        <v>185.5</v>
      </c>
      <c r="P63" s="49">
        <v>185.5</v>
      </c>
      <c r="Q63" s="49">
        <v>185.5</v>
      </c>
      <c r="R63" s="49">
        <v>185.5</v>
      </c>
      <c r="S63" s="49">
        <v>0</v>
      </c>
      <c r="T63" s="49">
        <v>0</v>
      </c>
      <c r="V63" s="48"/>
    </row>
    <row r="64" spans="1:22" s="53" customFormat="1" ht="15.75" customHeight="1" x14ac:dyDescent="0.25">
      <c r="A64" s="50">
        <v>1977</v>
      </c>
      <c r="B64" s="50">
        <v>12</v>
      </c>
      <c r="C64" s="51">
        <f t="shared" si="0"/>
        <v>28.666666666666668</v>
      </c>
      <c r="D64" s="51">
        <f t="shared" si="1"/>
        <v>344</v>
      </c>
      <c r="E64" s="49">
        <v>1455.86</v>
      </c>
      <c r="F64" s="49">
        <f t="shared" si="2"/>
        <v>50.785813953488365</v>
      </c>
      <c r="G64" s="52">
        <f t="shared" si="3"/>
        <v>1.9690538009607152E-2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172</v>
      </c>
      <c r="T64" s="49">
        <v>172</v>
      </c>
    </row>
    <row r="65" spans="1:22" s="53" customFormat="1" ht="15.75" customHeight="1" x14ac:dyDescent="0.25">
      <c r="A65" s="50">
        <v>1978</v>
      </c>
      <c r="B65" s="50">
        <v>12</v>
      </c>
      <c r="C65" s="51">
        <f t="shared" si="0"/>
        <v>28.666666666666668</v>
      </c>
      <c r="D65" s="51">
        <f t="shared" si="1"/>
        <v>344</v>
      </c>
      <c r="E65" s="49">
        <v>1455.86</v>
      </c>
      <c r="F65" s="49">
        <f t="shared" si="2"/>
        <v>50.785813953488365</v>
      </c>
      <c r="G65" s="52">
        <f t="shared" si="3"/>
        <v>1.9690538009607152E-2</v>
      </c>
      <c r="I65" s="49">
        <v>172</v>
      </c>
      <c r="J65" s="49">
        <v>172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2" s="53" customFormat="1" ht="15.75" customHeight="1" x14ac:dyDescent="0.25">
      <c r="A66" s="50">
        <v>1979</v>
      </c>
      <c r="B66" s="50">
        <v>12</v>
      </c>
      <c r="C66" s="51">
        <f t="shared" si="0"/>
        <v>123.66666666666667</v>
      </c>
      <c r="D66" s="51">
        <f t="shared" si="1"/>
        <v>1484</v>
      </c>
      <c r="E66" s="49">
        <v>1455.86</v>
      </c>
      <c r="F66" s="49">
        <f t="shared" si="2"/>
        <v>11.772452830188678</v>
      </c>
      <c r="G66" s="52">
        <f t="shared" si="3"/>
        <v>8.4944065134468061E-2</v>
      </c>
      <c r="I66" s="49">
        <v>0</v>
      </c>
      <c r="J66" s="49">
        <v>0</v>
      </c>
      <c r="K66" s="49">
        <v>185.5</v>
      </c>
      <c r="L66" s="49">
        <v>185.5</v>
      </c>
      <c r="M66" s="49">
        <v>185.5</v>
      </c>
      <c r="N66" s="49">
        <v>185.5</v>
      </c>
      <c r="O66" s="49">
        <v>185.5</v>
      </c>
      <c r="P66" s="49">
        <v>185.5</v>
      </c>
      <c r="Q66" s="49">
        <v>185.5</v>
      </c>
      <c r="R66" s="49">
        <v>185.5</v>
      </c>
      <c r="S66" s="49">
        <v>0</v>
      </c>
      <c r="T66" s="49">
        <v>0</v>
      </c>
      <c r="V66" s="48"/>
    </row>
    <row r="67" spans="1:22" s="53" customFormat="1" ht="15.75" customHeight="1" x14ac:dyDescent="0.25">
      <c r="A67" s="50">
        <v>1980</v>
      </c>
      <c r="B67" s="50">
        <v>12</v>
      </c>
      <c r="C67" s="51">
        <f t="shared" si="0"/>
        <v>28.666666666666668</v>
      </c>
      <c r="D67" s="51">
        <f t="shared" si="1"/>
        <v>344</v>
      </c>
      <c r="E67" s="49">
        <v>1455.86</v>
      </c>
      <c r="F67" s="49">
        <f t="shared" si="2"/>
        <v>50.785813953488365</v>
      </c>
      <c r="G67" s="52">
        <f t="shared" si="3"/>
        <v>1.9690538009607152E-2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172</v>
      </c>
      <c r="T67" s="49">
        <v>172</v>
      </c>
    </row>
    <row r="68" spans="1:22" s="53" customFormat="1" ht="15.75" customHeight="1" x14ac:dyDescent="0.25">
      <c r="A68" s="50">
        <v>1981</v>
      </c>
      <c r="B68" s="50">
        <v>12</v>
      </c>
      <c r="C68" s="51">
        <f t="shared" ref="C68:C69" si="4">D68/B68</f>
        <v>28.666666666666668</v>
      </c>
      <c r="D68" s="51">
        <f t="shared" ref="D68:D69" si="5">SUM(I68:T68)</f>
        <v>344</v>
      </c>
      <c r="E68" s="49">
        <v>1455.86</v>
      </c>
      <c r="F68" s="49">
        <f t="shared" ref="F68:F69" si="6">E68/C68</f>
        <v>50.785813953488365</v>
      </c>
      <c r="G68" s="52">
        <f t="shared" ref="G68:G69" si="7">C68/E68</f>
        <v>1.9690538009607152E-2</v>
      </c>
      <c r="I68" s="49">
        <v>172</v>
      </c>
      <c r="J68" s="49">
        <v>172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2" s="53" customFormat="1" ht="15.75" customHeight="1" x14ac:dyDescent="0.25">
      <c r="A69" s="50">
        <v>1982</v>
      </c>
      <c r="B69" s="50">
        <v>12</v>
      </c>
      <c r="C69" s="51">
        <f t="shared" si="4"/>
        <v>123.66666666666667</v>
      </c>
      <c r="D69" s="51">
        <f t="shared" si="5"/>
        <v>1484</v>
      </c>
      <c r="E69" s="49">
        <v>1455.86</v>
      </c>
      <c r="F69" s="49">
        <f t="shared" si="6"/>
        <v>11.772452830188678</v>
      </c>
      <c r="G69" s="52">
        <f t="shared" si="7"/>
        <v>8.4944065134468061E-2</v>
      </c>
      <c r="I69" s="49">
        <v>0</v>
      </c>
      <c r="J69" s="49">
        <v>0</v>
      </c>
      <c r="K69" s="49">
        <v>185.5</v>
      </c>
      <c r="L69" s="49">
        <v>185.5</v>
      </c>
      <c r="M69" s="49">
        <v>185.5</v>
      </c>
      <c r="N69" s="49">
        <v>185.5</v>
      </c>
      <c r="O69" s="49">
        <v>185.5</v>
      </c>
      <c r="P69" s="49">
        <v>185.5</v>
      </c>
      <c r="Q69" s="49">
        <v>185.5</v>
      </c>
      <c r="R69" s="49">
        <v>185.5</v>
      </c>
      <c r="S69" s="49">
        <v>0</v>
      </c>
      <c r="T69" s="49">
        <v>0</v>
      </c>
      <c r="V69" s="48"/>
    </row>
    <row r="70" spans="1:22" s="53" customFormat="1" ht="15.75" customHeight="1" x14ac:dyDescent="0.25">
      <c r="A70" s="50">
        <v>1983</v>
      </c>
      <c r="B70" s="50">
        <v>12</v>
      </c>
      <c r="C70" s="51">
        <f t="shared" ref="C70:C97" si="8">D70/B70</f>
        <v>30</v>
      </c>
      <c r="D70" s="51">
        <f t="shared" ref="D70:D97" si="9">SUM(I70:T70)</f>
        <v>360</v>
      </c>
      <c r="E70" s="49">
        <v>1455.86</v>
      </c>
      <c r="F70" s="49">
        <f t="shared" ref="F70:F97" si="10">E70/C70</f>
        <v>48.528666666666666</v>
      </c>
      <c r="G70" s="52">
        <f t="shared" ref="G70:G97" si="11">C70/E70</f>
        <v>2.0606376986798184E-2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180</v>
      </c>
      <c r="T70" s="49">
        <v>180</v>
      </c>
    </row>
    <row r="71" spans="1:22" s="53" customFormat="1" ht="15.75" customHeight="1" x14ac:dyDescent="0.25">
      <c r="A71" s="50">
        <v>1984</v>
      </c>
      <c r="B71" s="50">
        <v>12</v>
      </c>
      <c r="C71" s="51">
        <f t="shared" si="8"/>
        <v>44.5</v>
      </c>
      <c r="D71" s="51">
        <f t="shared" si="9"/>
        <v>534</v>
      </c>
      <c r="E71" s="49">
        <v>1455.86</v>
      </c>
      <c r="F71" s="49">
        <f t="shared" si="10"/>
        <v>32.715955056179773</v>
      </c>
      <c r="G71" s="52">
        <f t="shared" si="11"/>
        <v>3.0566125863750637E-2</v>
      </c>
      <c r="I71" s="49">
        <v>180</v>
      </c>
      <c r="J71" s="49">
        <v>180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87</v>
      </c>
      <c r="T71" s="49">
        <v>87</v>
      </c>
    </row>
    <row r="72" spans="1:22" s="53" customFormat="1" ht="15.75" customHeight="1" x14ac:dyDescent="0.25">
      <c r="A72" s="50">
        <v>1985</v>
      </c>
      <c r="B72" s="50">
        <v>12</v>
      </c>
      <c r="C72" s="51">
        <f t="shared" si="8"/>
        <v>14.5</v>
      </c>
      <c r="D72" s="51">
        <f t="shared" si="9"/>
        <v>174</v>
      </c>
      <c r="E72" s="49">
        <v>1455.86</v>
      </c>
      <c r="F72" s="49">
        <f t="shared" si="10"/>
        <v>100.40413793103447</v>
      </c>
      <c r="G72" s="52">
        <f t="shared" si="11"/>
        <v>9.9597488769524543E-3</v>
      </c>
      <c r="I72" s="49">
        <v>87</v>
      </c>
      <c r="J72" s="49">
        <v>87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V72" s="48"/>
    </row>
    <row r="73" spans="1:22" s="53" customFormat="1" ht="15.75" customHeight="1" x14ac:dyDescent="0.3">
      <c r="A73" s="50">
        <v>1986</v>
      </c>
      <c r="B73" s="50">
        <v>12</v>
      </c>
      <c r="C73" s="51">
        <f>D73/B73</f>
        <v>3.3333333333333335</v>
      </c>
      <c r="D73" s="51">
        <f t="shared" si="9"/>
        <v>40</v>
      </c>
      <c r="E73" s="49">
        <v>1455.86</v>
      </c>
      <c r="F73" s="49">
        <f t="shared" si="10"/>
        <v>436.75799999999992</v>
      </c>
      <c r="G73" s="52">
        <f t="shared" si="11"/>
        <v>2.289597442977576E-3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20</v>
      </c>
      <c r="T73" s="49">
        <v>20</v>
      </c>
      <c r="V73" s="90"/>
    </row>
    <row r="74" spans="1:22" s="53" customFormat="1" ht="15.75" customHeight="1" x14ac:dyDescent="0.25">
      <c r="A74" s="50">
        <v>1987</v>
      </c>
      <c r="B74" s="50">
        <v>12</v>
      </c>
      <c r="C74" s="51">
        <f t="shared" si="8"/>
        <v>16.666666666666668</v>
      </c>
      <c r="D74" s="51">
        <f t="shared" si="9"/>
        <v>200</v>
      </c>
      <c r="E74" s="49">
        <v>368.59</v>
      </c>
      <c r="F74" s="49">
        <f t="shared" si="10"/>
        <v>22.115399999999998</v>
      </c>
      <c r="G74" s="52">
        <f t="shared" si="11"/>
        <v>4.5217359848793152E-2</v>
      </c>
      <c r="I74" s="49">
        <v>20</v>
      </c>
      <c r="J74" s="49">
        <v>20</v>
      </c>
      <c r="K74" s="49">
        <v>20</v>
      </c>
      <c r="L74" s="49">
        <v>20</v>
      </c>
      <c r="M74" s="49">
        <v>20</v>
      </c>
      <c r="N74" s="49">
        <v>20</v>
      </c>
      <c r="O74" s="49">
        <v>20</v>
      </c>
      <c r="P74" s="49">
        <v>20</v>
      </c>
      <c r="Q74" s="49">
        <v>20</v>
      </c>
      <c r="R74" s="49">
        <v>20</v>
      </c>
      <c r="S74" s="49"/>
      <c r="T74" s="49"/>
      <c r="V74" s="48"/>
    </row>
    <row r="75" spans="1:22" s="53" customFormat="1" ht="15.75" customHeight="1" x14ac:dyDescent="0.25">
      <c r="A75" s="50">
        <v>1988</v>
      </c>
      <c r="B75" s="50">
        <v>12</v>
      </c>
      <c r="C75" s="51">
        <f t="shared" si="8"/>
        <v>3.3333333333333335</v>
      </c>
      <c r="D75" s="51">
        <f t="shared" si="9"/>
        <v>40</v>
      </c>
      <c r="E75" s="49">
        <v>368.59</v>
      </c>
      <c r="F75" s="49">
        <f t="shared" si="10"/>
        <v>110.57699999999998</v>
      </c>
      <c r="G75" s="52">
        <f t="shared" si="11"/>
        <v>9.0434719697586301E-3</v>
      </c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>
        <v>20</v>
      </c>
      <c r="T75" s="49">
        <v>20</v>
      </c>
    </row>
    <row r="76" spans="1:22" s="53" customFormat="1" ht="15.75" customHeight="1" x14ac:dyDescent="0.25">
      <c r="A76" s="50">
        <v>1989</v>
      </c>
      <c r="B76" s="50">
        <v>12</v>
      </c>
      <c r="C76" s="51">
        <f t="shared" si="8"/>
        <v>17.666666666666668</v>
      </c>
      <c r="D76" s="51">
        <f t="shared" si="9"/>
        <v>212</v>
      </c>
      <c r="E76" s="49">
        <v>368.59</v>
      </c>
      <c r="F76" s="49">
        <f t="shared" si="10"/>
        <v>20.863584905660375</v>
      </c>
      <c r="G76" s="52">
        <f t="shared" si="11"/>
        <v>4.7930401439720743E-2</v>
      </c>
      <c r="I76" s="49">
        <v>20</v>
      </c>
      <c r="J76" s="49">
        <v>20</v>
      </c>
      <c r="K76" s="49">
        <v>21.5</v>
      </c>
      <c r="L76" s="49">
        <v>21.5</v>
      </c>
      <c r="M76" s="49">
        <v>21.5</v>
      </c>
      <c r="N76" s="49">
        <v>21.5</v>
      </c>
      <c r="O76" s="49">
        <v>21.5</v>
      </c>
      <c r="P76" s="49">
        <v>21.5</v>
      </c>
      <c r="Q76" s="49">
        <v>21.5</v>
      </c>
      <c r="R76" s="49">
        <v>21.5</v>
      </c>
      <c r="S76" s="49">
        <v>0</v>
      </c>
      <c r="T76" s="49">
        <v>0</v>
      </c>
    </row>
    <row r="77" spans="1:22" s="53" customFormat="1" ht="15.75" customHeight="1" x14ac:dyDescent="0.25">
      <c r="A77" s="50">
        <v>1990</v>
      </c>
      <c r="B77" s="50">
        <v>12</v>
      </c>
      <c r="C77" s="51">
        <f t="shared" si="8"/>
        <v>0</v>
      </c>
      <c r="D77" s="51">
        <f t="shared" si="9"/>
        <v>0</v>
      </c>
      <c r="E77" s="49">
        <v>368.59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2" s="53" customFormat="1" ht="15.75" customHeight="1" x14ac:dyDescent="0.25">
      <c r="A78" s="50">
        <v>1991</v>
      </c>
      <c r="B78" s="50">
        <v>12</v>
      </c>
      <c r="C78" s="51">
        <f t="shared" si="8"/>
        <v>20.833333333333332</v>
      </c>
      <c r="D78" s="51">
        <f t="shared" si="9"/>
        <v>250</v>
      </c>
      <c r="E78" s="49">
        <v>368.59</v>
      </c>
      <c r="F78" s="49">
        <f t="shared" si="10"/>
        <v>17.692319999999999</v>
      </c>
      <c r="G78" s="52">
        <f t="shared" si="11"/>
        <v>5.6521699810991435E-2</v>
      </c>
      <c r="I78" s="49">
        <v>0</v>
      </c>
      <c r="J78" s="49">
        <v>0</v>
      </c>
      <c r="K78" s="49">
        <v>0</v>
      </c>
      <c r="L78" s="49">
        <v>0</v>
      </c>
      <c r="M78" s="49">
        <v>50</v>
      </c>
      <c r="N78" s="49">
        <v>50</v>
      </c>
      <c r="O78" s="49">
        <v>50</v>
      </c>
      <c r="P78" s="49">
        <v>50</v>
      </c>
      <c r="Q78" s="49">
        <v>50</v>
      </c>
      <c r="R78" s="49">
        <v>0</v>
      </c>
      <c r="S78" s="49">
        <v>0</v>
      </c>
      <c r="T78" s="49">
        <v>0</v>
      </c>
    </row>
    <row r="79" spans="1:22" s="53" customFormat="1" ht="15.75" customHeight="1" x14ac:dyDescent="0.25">
      <c r="A79" s="50">
        <v>1992</v>
      </c>
      <c r="B79" s="50">
        <v>12</v>
      </c>
      <c r="C79" s="51">
        <f t="shared" si="8"/>
        <v>27.5</v>
      </c>
      <c r="D79" s="51">
        <f t="shared" si="9"/>
        <v>330</v>
      </c>
      <c r="E79" s="49">
        <v>368.59</v>
      </c>
      <c r="F79" s="49">
        <f t="shared" si="10"/>
        <v>13.403272727272727</v>
      </c>
      <c r="G79" s="52">
        <f t="shared" si="11"/>
        <v>7.4608643750508699E-2</v>
      </c>
      <c r="I79" s="49">
        <v>0</v>
      </c>
      <c r="J79" s="49">
        <v>0</v>
      </c>
      <c r="K79" s="49">
        <v>0</v>
      </c>
      <c r="L79" s="49">
        <v>66</v>
      </c>
      <c r="M79" s="49">
        <v>66</v>
      </c>
      <c r="N79" s="49">
        <v>66</v>
      </c>
      <c r="O79" s="49">
        <v>66</v>
      </c>
      <c r="P79" s="49">
        <v>66</v>
      </c>
      <c r="Q79" s="49">
        <v>0</v>
      </c>
      <c r="R79" s="49">
        <v>0</v>
      </c>
      <c r="S79" s="49">
        <v>0</v>
      </c>
      <c r="T79" s="49">
        <v>0</v>
      </c>
    </row>
    <row r="80" spans="1:22" s="53" customFormat="1" ht="15.75" customHeight="1" x14ac:dyDescent="0.25">
      <c r="A80" s="50">
        <v>1993</v>
      </c>
      <c r="B80" s="50">
        <v>12</v>
      </c>
      <c r="C80" s="51">
        <f t="shared" si="8"/>
        <v>26.875</v>
      </c>
      <c r="D80" s="51">
        <f t="shared" si="9"/>
        <v>322.5</v>
      </c>
      <c r="E80" s="49">
        <v>368.59</v>
      </c>
      <c r="F80" s="49">
        <f t="shared" si="10"/>
        <v>13.714976744186046</v>
      </c>
      <c r="G80" s="52">
        <f t="shared" si="11"/>
        <v>7.2912992756178963E-2</v>
      </c>
      <c r="I80" s="49">
        <v>0</v>
      </c>
      <c r="J80" s="49">
        <v>0</v>
      </c>
      <c r="K80" s="49">
        <v>0</v>
      </c>
      <c r="L80" s="49">
        <v>64.5</v>
      </c>
      <c r="M80" s="49">
        <v>64.5</v>
      </c>
      <c r="N80" s="49">
        <v>64.5</v>
      </c>
      <c r="O80" s="49">
        <v>64.5</v>
      </c>
      <c r="P80" s="49">
        <v>64.5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26.875</v>
      </c>
      <c r="D81" s="51">
        <f t="shared" si="9"/>
        <v>322.5</v>
      </c>
      <c r="E81" s="49">
        <v>368.59</v>
      </c>
      <c r="F81" s="49">
        <f t="shared" si="10"/>
        <v>13.714976744186046</v>
      </c>
      <c r="G81" s="52">
        <f t="shared" si="11"/>
        <v>7.2912992756178963E-2</v>
      </c>
      <c r="I81" s="49">
        <v>0</v>
      </c>
      <c r="J81" s="49">
        <v>0</v>
      </c>
      <c r="K81" s="49">
        <v>0</v>
      </c>
      <c r="L81" s="49">
        <v>64.5</v>
      </c>
      <c r="M81" s="49">
        <v>64.5</v>
      </c>
      <c r="N81" s="49">
        <v>64.5</v>
      </c>
      <c r="O81" s="49">
        <v>64.5</v>
      </c>
      <c r="P81" s="49">
        <v>64.5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26.875</v>
      </c>
      <c r="D82" s="51">
        <f t="shared" si="9"/>
        <v>322.5</v>
      </c>
      <c r="E82" s="49">
        <v>368.59</v>
      </c>
      <c r="F82" s="49">
        <f t="shared" si="10"/>
        <v>13.714976744186046</v>
      </c>
      <c r="G82" s="52">
        <f t="shared" si="11"/>
        <v>7.2912992756178963E-2</v>
      </c>
      <c r="I82" s="49">
        <v>0</v>
      </c>
      <c r="J82" s="49">
        <v>0</v>
      </c>
      <c r="K82" s="49">
        <v>0</v>
      </c>
      <c r="L82" s="49">
        <v>64.5</v>
      </c>
      <c r="M82" s="49">
        <v>64.5</v>
      </c>
      <c r="N82" s="49">
        <v>64.5</v>
      </c>
      <c r="O82" s="49">
        <v>64.5</v>
      </c>
      <c r="P82" s="49">
        <v>64.5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24.791666666666668</v>
      </c>
      <c r="D83" s="51">
        <f t="shared" si="9"/>
        <v>297.5</v>
      </c>
      <c r="E83" s="49">
        <v>368.59</v>
      </c>
      <c r="F83" s="49">
        <f t="shared" si="10"/>
        <v>14.867495798319325</v>
      </c>
      <c r="G83" s="52">
        <f t="shared" si="11"/>
        <v>6.7260822775079818E-2</v>
      </c>
      <c r="I83" s="49">
        <v>0</v>
      </c>
      <c r="J83" s="49">
        <v>0</v>
      </c>
      <c r="K83" s="49">
        <v>0</v>
      </c>
      <c r="L83" s="49">
        <v>59.5</v>
      </c>
      <c r="M83" s="49">
        <v>59.5</v>
      </c>
      <c r="N83" s="49">
        <v>59.5</v>
      </c>
      <c r="O83" s="49">
        <v>59.5</v>
      </c>
      <c r="P83" s="49">
        <v>59.5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22.083333333333332</v>
      </c>
      <c r="D84" s="51">
        <f t="shared" si="9"/>
        <v>265</v>
      </c>
      <c r="E84" s="49">
        <v>368.59</v>
      </c>
      <c r="F84" s="49">
        <f t="shared" si="10"/>
        <v>16.690867924528302</v>
      </c>
      <c r="G84" s="52">
        <f t="shared" si="11"/>
        <v>5.9913001799650922E-2</v>
      </c>
      <c r="I84" s="49">
        <v>0</v>
      </c>
      <c r="J84" s="49">
        <v>0</v>
      </c>
      <c r="K84" s="49">
        <v>0</v>
      </c>
      <c r="L84" s="49">
        <v>53</v>
      </c>
      <c r="M84" s="49">
        <v>53</v>
      </c>
      <c r="N84" s="49">
        <v>53</v>
      </c>
      <c r="O84" s="49">
        <v>53</v>
      </c>
      <c r="P84" s="49">
        <v>53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22.708333333333332</v>
      </c>
      <c r="D85" s="51">
        <f t="shared" si="9"/>
        <v>272.5</v>
      </c>
      <c r="E85" s="49">
        <v>368.59</v>
      </c>
      <c r="F85" s="49">
        <f t="shared" si="10"/>
        <v>16.23148623853211</v>
      </c>
      <c r="G85" s="52">
        <f t="shared" si="11"/>
        <v>6.1608652793980666E-2</v>
      </c>
      <c r="I85" s="49">
        <v>0</v>
      </c>
      <c r="J85" s="49">
        <v>0</v>
      </c>
      <c r="K85" s="49">
        <v>0</v>
      </c>
      <c r="L85" s="49">
        <v>54.5</v>
      </c>
      <c r="M85" s="49">
        <v>54.5</v>
      </c>
      <c r="N85" s="49">
        <v>54.5</v>
      </c>
      <c r="O85" s="49">
        <v>54.5</v>
      </c>
      <c r="P85" s="49">
        <v>54.5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22.708333333333332</v>
      </c>
      <c r="D86" s="51">
        <f t="shared" si="9"/>
        <v>272.5</v>
      </c>
      <c r="E86" s="49">
        <v>368.59</v>
      </c>
      <c r="F86" s="49">
        <f t="shared" si="10"/>
        <v>16.23148623853211</v>
      </c>
      <c r="G86" s="52">
        <f t="shared" si="11"/>
        <v>6.1608652793980666E-2</v>
      </c>
      <c r="I86" s="49">
        <v>0</v>
      </c>
      <c r="J86" s="49">
        <v>0</v>
      </c>
      <c r="K86" s="49">
        <v>0</v>
      </c>
      <c r="L86" s="49">
        <v>54.5</v>
      </c>
      <c r="M86" s="49">
        <v>54.5</v>
      </c>
      <c r="N86" s="49">
        <v>54.5</v>
      </c>
      <c r="O86" s="49">
        <v>54.5</v>
      </c>
      <c r="P86" s="49">
        <v>54.5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26.875</v>
      </c>
      <c r="D87" s="51">
        <f t="shared" si="9"/>
        <v>322.5</v>
      </c>
      <c r="E87" s="49">
        <v>368.59</v>
      </c>
      <c r="F87" s="49">
        <f t="shared" si="10"/>
        <v>13.714976744186046</v>
      </c>
      <c r="G87" s="52">
        <f t="shared" si="11"/>
        <v>7.2912992756178963E-2</v>
      </c>
      <c r="I87" s="49">
        <v>0</v>
      </c>
      <c r="J87" s="49">
        <v>0</v>
      </c>
      <c r="K87" s="49">
        <v>0</v>
      </c>
      <c r="L87" s="49">
        <v>64.5</v>
      </c>
      <c r="M87" s="49">
        <v>64.5</v>
      </c>
      <c r="N87" s="49">
        <v>64.5</v>
      </c>
      <c r="O87" s="49">
        <v>64.5</v>
      </c>
      <c r="P87" s="49">
        <v>64.5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22.708333333333332</v>
      </c>
      <c r="D88" s="51">
        <f t="shared" si="9"/>
        <v>272.5</v>
      </c>
      <c r="E88" s="49">
        <v>368.59</v>
      </c>
      <c r="F88" s="49">
        <f t="shared" si="10"/>
        <v>16.23148623853211</v>
      </c>
      <c r="G88" s="52">
        <f t="shared" si="11"/>
        <v>6.1608652793980666E-2</v>
      </c>
      <c r="I88" s="49">
        <v>0</v>
      </c>
      <c r="J88" s="49">
        <v>0</v>
      </c>
      <c r="K88" s="49">
        <v>0</v>
      </c>
      <c r="L88" s="49">
        <v>54.5</v>
      </c>
      <c r="M88" s="49">
        <v>54.5</v>
      </c>
      <c r="N88" s="49">
        <v>54.5</v>
      </c>
      <c r="O88" s="49">
        <v>54.5</v>
      </c>
      <c r="P88" s="49">
        <v>54.5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22.708333333333332</v>
      </c>
      <c r="D89" s="51">
        <f t="shared" si="9"/>
        <v>272.5</v>
      </c>
      <c r="E89" s="49">
        <v>368.59</v>
      </c>
      <c r="F89" s="49">
        <f t="shared" si="10"/>
        <v>16.23148623853211</v>
      </c>
      <c r="G89" s="52">
        <f t="shared" si="11"/>
        <v>6.1608652793980666E-2</v>
      </c>
      <c r="I89" s="49">
        <v>0</v>
      </c>
      <c r="J89" s="49">
        <v>0</v>
      </c>
      <c r="K89" s="49">
        <v>0</v>
      </c>
      <c r="L89" s="49">
        <v>54.5</v>
      </c>
      <c r="M89" s="49">
        <v>54.5</v>
      </c>
      <c r="N89" s="49">
        <v>54.5</v>
      </c>
      <c r="O89" s="49">
        <v>54.5</v>
      </c>
      <c r="P89" s="49">
        <v>54.5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22.708333333333332</v>
      </c>
      <c r="D90" s="51">
        <f t="shared" si="9"/>
        <v>272.5</v>
      </c>
      <c r="E90" s="49">
        <v>368.59</v>
      </c>
      <c r="F90" s="49">
        <f t="shared" si="10"/>
        <v>16.23148623853211</v>
      </c>
      <c r="G90" s="52">
        <f t="shared" si="11"/>
        <v>6.1608652793980666E-2</v>
      </c>
      <c r="I90" s="49">
        <v>0</v>
      </c>
      <c r="J90" s="49">
        <v>0</v>
      </c>
      <c r="K90" s="49">
        <v>0</v>
      </c>
      <c r="L90" s="49">
        <v>54.5</v>
      </c>
      <c r="M90" s="49">
        <v>54.5</v>
      </c>
      <c r="N90" s="49">
        <v>54.5</v>
      </c>
      <c r="O90" s="49">
        <v>54.5</v>
      </c>
      <c r="P90" s="49">
        <v>54.5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22.708333333333332</v>
      </c>
      <c r="D91" s="51">
        <f t="shared" si="9"/>
        <v>272.5</v>
      </c>
      <c r="E91" s="49">
        <v>368.59</v>
      </c>
      <c r="F91" s="49">
        <f t="shared" si="10"/>
        <v>16.23148623853211</v>
      </c>
      <c r="G91" s="52">
        <f t="shared" si="11"/>
        <v>6.1608652793980666E-2</v>
      </c>
      <c r="I91" s="49">
        <v>0</v>
      </c>
      <c r="J91" s="49">
        <v>0</v>
      </c>
      <c r="K91" s="49">
        <v>0</v>
      </c>
      <c r="L91" s="49">
        <v>54.5</v>
      </c>
      <c r="M91" s="49">
        <v>54.5</v>
      </c>
      <c r="N91" s="49">
        <v>54.5</v>
      </c>
      <c r="O91" s="49">
        <v>54.5</v>
      </c>
      <c r="P91" s="49">
        <v>54.5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22.708333333333332</v>
      </c>
      <c r="D92" s="51">
        <f t="shared" si="9"/>
        <v>272.5</v>
      </c>
      <c r="E92" s="49">
        <v>368.59</v>
      </c>
      <c r="F92" s="49">
        <f t="shared" si="10"/>
        <v>16.23148623853211</v>
      </c>
      <c r="G92" s="52">
        <f t="shared" si="11"/>
        <v>6.1608652793980666E-2</v>
      </c>
      <c r="I92" s="49">
        <v>0</v>
      </c>
      <c r="J92" s="49">
        <v>0</v>
      </c>
      <c r="K92" s="49">
        <v>0</v>
      </c>
      <c r="L92" s="49">
        <v>54.5</v>
      </c>
      <c r="M92" s="49">
        <v>54.5</v>
      </c>
      <c r="N92" s="49">
        <v>54.5</v>
      </c>
      <c r="O92" s="49">
        <v>54.5</v>
      </c>
      <c r="P92" s="49">
        <v>54.5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2006</v>
      </c>
      <c r="B93" s="50">
        <v>12</v>
      </c>
      <c r="C93" s="51">
        <f t="shared" si="8"/>
        <v>22.708333333333332</v>
      </c>
      <c r="D93" s="51">
        <f t="shared" si="9"/>
        <v>272.5</v>
      </c>
      <c r="E93" s="49">
        <v>368.59</v>
      </c>
      <c r="F93" s="49">
        <f t="shared" si="10"/>
        <v>16.23148623853211</v>
      </c>
      <c r="G93" s="52">
        <f t="shared" si="11"/>
        <v>6.1608652793980666E-2</v>
      </c>
      <c r="I93" s="49">
        <v>0</v>
      </c>
      <c r="J93" s="49">
        <v>0</v>
      </c>
      <c r="K93" s="49">
        <v>0</v>
      </c>
      <c r="L93" s="49">
        <v>54.5</v>
      </c>
      <c r="M93" s="49">
        <v>54.5</v>
      </c>
      <c r="N93" s="49">
        <v>54.5</v>
      </c>
      <c r="O93" s="49">
        <v>54.5</v>
      </c>
      <c r="P93" s="49">
        <v>54.5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si="8"/>
        <v>18.366666666666667</v>
      </c>
      <c r="D94" s="51">
        <f t="shared" si="9"/>
        <v>220.4</v>
      </c>
      <c r="E94" s="49">
        <v>368.59</v>
      </c>
      <c r="F94" s="49">
        <f t="shared" si="10"/>
        <v>20.068421052631578</v>
      </c>
      <c r="G94" s="52">
        <f t="shared" si="11"/>
        <v>4.9829530553370055E-2</v>
      </c>
      <c r="I94" s="49">
        <v>0</v>
      </c>
      <c r="J94" s="49">
        <v>0</v>
      </c>
      <c r="K94" s="49">
        <v>0</v>
      </c>
      <c r="L94" s="49">
        <v>137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83.4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8"/>
        <v>12.291666666666666</v>
      </c>
      <c r="D95" s="51">
        <f t="shared" si="9"/>
        <v>147.5</v>
      </c>
      <c r="E95" s="49">
        <v>368.59</v>
      </c>
      <c r="F95" s="49">
        <f t="shared" si="10"/>
        <v>29.986983050847456</v>
      </c>
      <c r="G95" s="52">
        <f t="shared" si="11"/>
        <v>3.3347802888484948E-2</v>
      </c>
      <c r="I95" s="49">
        <v>66.7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80.8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8"/>
        <v>23.908333333333331</v>
      </c>
      <c r="D96" s="51">
        <f t="shared" si="9"/>
        <v>286.89999999999998</v>
      </c>
      <c r="E96" s="49">
        <v>368.59</v>
      </c>
      <c r="F96" s="49">
        <f t="shared" si="10"/>
        <v>15.416800278842803</v>
      </c>
      <c r="G96" s="52">
        <f t="shared" si="11"/>
        <v>6.4864302703093776E-2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71</v>
      </c>
      <c r="Q96" s="49">
        <v>205.3</v>
      </c>
      <c r="R96" s="49">
        <v>5.9</v>
      </c>
      <c r="S96" s="49">
        <v>4.7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8"/>
        <v>16.333333333333332</v>
      </c>
      <c r="D97" s="51">
        <f t="shared" si="9"/>
        <v>196</v>
      </c>
      <c r="E97" s="49">
        <v>368.59</v>
      </c>
      <c r="F97" s="49">
        <f t="shared" si="10"/>
        <v>22.566734693877549</v>
      </c>
      <c r="G97" s="52">
        <f t="shared" si="11"/>
        <v>4.4313012651817286E-2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196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2">D98/B98</f>
        <v>20.591666666666665</v>
      </c>
      <c r="D98" s="51">
        <f t="shared" ref="D98:D107" si="13">SUM(I98:T98)</f>
        <v>247.1</v>
      </c>
      <c r="E98" s="49">
        <v>368.59</v>
      </c>
      <c r="F98" s="49">
        <f t="shared" ref="F98:F107" si="14">E98/C98</f>
        <v>17.899959530554433</v>
      </c>
      <c r="G98" s="52">
        <f t="shared" ref="G98:G107" si="15">C98/E98</f>
        <v>5.5866048093183934E-2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83.2</v>
      </c>
      <c r="Q98" s="49">
        <v>157.5</v>
      </c>
      <c r="R98" s="49">
        <v>6.4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2"/>
        <v>20.066666666666666</v>
      </c>
      <c r="D99" s="51">
        <f t="shared" si="13"/>
        <v>240.8</v>
      </c>
      <c r="E99" s="49">
        <v>368.59</v>
      </c>
      <c r="F99" s="49">
        <f t="shared" si="14"/>
        <v>18.368272425249167</v>
      </c>
      <c r="G99" s="52">
        <f t="shared" si="15"/>
        <v>5.4441701257946951E-2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228.2</v>
      </c>
      <c r="S99" s="49">
        <v>10.8</v>
      </c>
      <c r="T99" s="49">
        <v>1.8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2"/>
        <v>13.583333333333334</v>
      </c>
      <c r="D100" s="51">
        <f t="shared" si="13"/>
        <v>163</v>
      </c>
      <c r="E100" s="49">
        <v>368.59</v>
      </c>
      <c r="F100" s="49">
        <f t="shared" si="14"/>
        <v>27.135460122699385</v>
      </c>
      <c r="G100" s="52">
        <f t="shared" si="15"/>
        <v>3.6852148276766424E-2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163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2"/>
        <v>13.424999999999999</v>
      </c>
      <c r="D101" s="51">
        <f t="shared" si="13"/>
        <v>161.1</v>
      </c>
      <c r="E101" s="49">
        <v>368.59</v>
      </c>
      <c r="F101" s="49">
        <f t="shared" si="14"/>
        <v>27.455493482309127</v>
      </c>
      <c r="G101" s="52">
        <f t="shared" si="15"/>
        <v>3.6422583358202879E-2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161.1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2"/>
        <v>8.2750000000000004</v>
      </c>
      <c r="D102" s="51">
        <f t="shared" si="13"/>
        <v>99.3</v>
      </c>
      <c r="E102" s="49">
        <v>368.59</v>
      </c>
      <c r="F102" s="49">
        <f t="shared" si="14"/>
        <v>44.542598187311171</v>
      </c>
      <c r="G102" s="52">
        <f t="shared" si="15"/>
        <v>2.2450419164925801E-2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99.3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2"/>
        <v>0</v>
      </c>
      <c r="D103" s="51">
        <f t="shared" si="13"/>
        <v>0</v>
      </c>
      <c r="E103" s="49">
        <v>368.59</v>
      </c>
      <c r="F103" s="49" t="e">
        <f t="shared" si="14"/>
        <v>#DIV/0!</v>
      </c>
      <c r="G103" s="52">
        <f t="shared" si="15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2"/>
        <v>25.889166666666668</v>
      </c>
      <c r="D104" s="51">
        <f t="shared" si="13"/>
        <v>310.67</v>
      </c>
      <c r="E104" s="49">
        <v>368.59</v>
      </c>
      <c r="F104" s="49">
        <f t="shared" si="14"/>
        <v>14.237229214278814</v>
      </c>
      <c r="G104" s="52">
        <f t="shared" si="15"/>
        <v>7.0238385921122845E-2</v>
      </c>
      <c r="I104" s="49">
        <v>310.67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2"/>
        <v>17.191666666666666</v>
      </c>
      <c r="D105" s="51">
        <f t="shared" si="13"/>
        <v>206.29999999999998</v>
      </c>
      <c r="E105" s="49">
        <v>368.59</v>
      </c>
      <c r="F105" s="49">
        <f t="shared" si="14"/>
        <v>21.440038778477945</v>
      </c>
      <c r="G105" s="52">
        <f t="shared" si="15"/>
        <v>4.6641706684030136E-2</v>
      </c>
      <c r="I105" s="49">
        <v>189.7</v>
      </c>
      <c r="J105" s="49">
        <v>16.600000000000001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2"/>
        <v>16.28833333333333</v>
      </c>
      <c r="D106" s="51">
        <f t="shared" si="13"/>
        <v>195.45999999999998</v>
      </c>
      <c r="E106" s="49">
        <v>368.59</v>
      </c>
      <c r="F106" s="49">
        <f t="shared" si="14"/>
        <v>22.629080118694365</v>
      </c>
      <c r="G106" s="52">
        <f t="shared" si="15"/>
        <v>4.4190925780225536E-2</v>
      </c>
      <c r="I106" s="49">
        <v>0</v>
      </c>
      <c r="J106" s="49">
        <v>193.2</v>
      </c>
      <c r="K106" s="49">
        <v>2.2599999999999998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2"/>
        <v>18.428333333333331</v>
      </c>
      <c r="D107" s="51">
        <f t="shared" si="13"/>
        <v>221.14</v>
      </c>
      <c r="E107" s="49">
        <v>368.59</v>
      </c>
      <c r="F107" s="49">
        <f t="shared" si="14"/>
        <v>20.001266166229538</v>
      </c>
      <c r="G107" s="52">
        <f t="shared" si="15"/>
        <v>4.9996834784810582E-2</v>
      </c>
      <c r="I107" s="49">
        <v>220</v>
      </c>
      <c r="J107" s="49">
        <v>1.1399999999999999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16">D108/B108</f>
        <v>21.574999999999999</v>
      </c>
      <c r="D108" s="51">
        <f t="shared" ref="D108" si="17">SUM(I108:T108)</f>
        <v>258.89999999999998</v>
      </c>
      <c r="E108" s="49">
        <v>368.59</v>
      </c>
      <c r="F108" s="49">
        <f t="shared" ref="F108" si="18">E108/C108</f>
        <v>17.084125144843568</v>
      </c>
      <c r="G108" s="52">
        <f t="shared" ref="G108" si="19">C108/E108</f>
        <v>5.8533872324262735E-2</v>
      </c>
      <c r="I108" s="54">
        <v>0</v>
      </c>
      <c r="J108" s="54">
        <v>155.9</v>
      </c>
      <c r="K108" s="54">
        <v>0</v>
      </c>
      <c r="L108" s="54">
        <v>0</v>
      </c>
      <c r="M108" s="54">
        <v>0</v>
      </c>
      <c r="N108" s="54">
        <v>0</v>
      </c>
      <c r="O108" s="54">
        <v>28.1</v>
      </c>
      <c r="P108" s="54">
        <v>74.900000000000006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0">D109/B109</f>
        <v>18.408333333333331</v>
      </c>
      <c r="D109" s="51">
        <f t="shared" ref="D109" si="21">SUM(I109:T109)</f>
        <v>220.89999999999998</v>
      </c>
      <c r="E109" s="49">
        <v>368.59</v>
      </c>
      <c r="F109" s="49">
        <f t="shared" ref="F109" si="22">E109/C109</f>
        <v>20.022996831145317</v>
      </c>
      <c r="G109" s="52">
        <f t="shared" ref="G109" si="23">C109/E109</f>
        <v>4.994257395299203E-2</v>
      </c>
      <c r="I109" s="54">
        <v>0</v>
      </c>
      <c r="J109" s="54">
        <v>0</v>
      </c>
      <c r="K109" s="54">
        <v>0</v>
      </c>
      <c r="L109" s="54">
        <v>0</v>
      </c>
      <c r="M109" s="54">
        <v>199.2</v>
      </c>
      <c r="N109" s="54">
        <v>21.7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4">D110/B110</f>
        <v>12.291666666666666</v>
      </c>
      <c r="D110" s="51">
        <f t="shared" ref="D110" si="25">SUM(I110:T110)</f>
        <v>147.5</v>
      </c>
      <c r="E110" s="49">
        <v>368.59</v>
      </c>
      <c r="F110" s="49">
        <f t="shared" ref="F110" si="26">E110/C110</f>
        <v>29.986983050847456</v>
      </c>
      <c r="G110" s="52">
        <f t="shared" ref="G110" si="27">C110/E110</f>
        <v>3.3347802888484948E-2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147.5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28">D111/B111</f>
        <v>25.155017921146953</v>
      </c>
      <c r="D111" s="51">
        <f t="shared" ref="D111" si="29">SUM(I111:T111)</f>
        <v>301.86021505376345</v>
      </c>
      <c r="E111" s="49">
        <v>368.59</v>
      </c>
      <c r="F111" s="49">
        <f t="shared" ref="F111" si="30">E111/C111</f>
        <v>14.652742492786663</v>
      </c>
      <c r="G111" s="52">
        <f t="shared" ref="G111" si="31">C111/E111</f>
        <v>6.8246609840600547E-2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139.66666666666666</v>
      </c>
      <c r="T111" s="54">
        <v>162.19354838709677</v>
      </c>
    </row>
    <row r="112" spans="1:20" ht="15.75" customHeight="1" x14ac:dyDescent="0.25">
      <c r="A112" s="50">
        <v>2025</v>
      </c>
      <c r="B112" s="50">
        <v>12</v>
      </c>
      <c r="C112" s="51">
        <f>D112/B112</f>
        <v>2.2250000000000001</v>
      </c>
      <c r="D112" s="51">
        <f t="shared" ref="D112" si="32">SUM(I112:T112)</f>
        <v>26.7</v>
      </c>
      <c r="E112" s="49">
        <v>368.59</v>
      </c>
      <c r="F112" s="49">
        <f t="shared" ref="F112" si="33">E112/C112</f>
        <v>165.65842696629213</v>
      </c>
      <c r="G112" s="52">
        <f t="shared" ref="G112" si="34">C112/E112</f>
        <v>6.0365175398138862E-3</v>
      </c>
      <c r="I112" s="54">
        <v>26.7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13"/>
  <sheetViews>
    <sheetView zoomScale="80" zoomScaleNormal="80" workbookViewId="0">
      <pane ySplit="1440" topLeftCell="A77" activePane="bottomLeft"/>
      <selection sqref="A1:XFD1048576"/>
      <selection pane="bottomLeft" activeCell="A113" sqref="A113:XFD113"/>
    </sheetView>
  </sheetViews>
  <sheetFormatPr defaultColWidth="9.109375" defaultRowHeight="15.75" customHeight="1" x14ac:dyDescent="0.25"/>
  <cols>
    <col min="1" max="1" width="9.109375" style="40"/>
    <col min="2" max="2" width="9.109375" style="40" customWidth="1"/>
    <col min="3" max="4" width="9.109375" style="55" customWidth="1"/>
    <col min="5" max="5" width="10.88671875" style="56" customWidth="1"/>
    <col min="6" max="6" width="9.109375" style="56" customWidth="1"/>
    <col min="7" max="7" width="9.109375" style="57" customWidth="1"/>
    <col min="8" max="8" width="9.109375" style="40" customWidth="1"/>
    <col min="9" max="9" width="9.109375" style="56"/>
    <col min="10" max="10" width="10.5546875" style="56" customWidth="1"/>
    <col min="11" max="16" width="9.109375" style="56"/>
    <col min="17" max="17" width="12.5546875" style="56" customWidth="1"/>
    <col min="18" max="18" width="9.109375" style="56"/>
    <col min="19" max="19" width="11.88671875" style="56" customWidth="1"/>
    <col min="20" max="20" width="11.6640625" style="56" customWidth="1"/>
    <col min="21" max="16384" width="9.109375" style="40"/>
  </cols>
  <sheetData>
    <row r="1" spans="1:20" ht="15" x14ac:dyDescent="0.25">
      <c r="A1" s="120" t="s">
        <v>38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1915</v>
      </c>
      <c r="B3" s="50">
        <v>12</v>
      </c>
      <c r="C3" s="51">
        <f>D3/B3</f>
        <v>3.4499999999999997</v>
      </c>
      <c r="D3" s="51">
        <f>SUM(I3:T3)</f>
        <v>41.4</v>
      </c>
      <c r="E3" s="49">
        <v>329.97</v>
      </c>
      <c r="F3" s="49">
        <f>E3/C3</f>
        <v>95.643478260869585</v>
      </c>
      <c r="G3" s="52">
        <f>C3/E3</f>
        <v>1.045549595417765E-2</v>
      </c>
      <c r="H3" s="91"/>
      <c r="I3" s="49"/>
      <c r="J3" s="49"/>
      <c r="K3" s="49"/>
      <c r="L3" s="49"/>
      <c r="M3" s="49"/>
      <c r="N3" s="49"/>
      <c r="O3" s="49"/>
      <c r="P3" s="49">
        <v>18.2</v>
      </c>
      <c r="Q3" s="49">
        <v>5.6</v>
      </c>
      <c r="R3" s="49">
        <v>6.2</v>
      </c>
      <c r="S3" s="49">
        <v>5.4</v>
      </c>
      <c r="T3" s="49">
        <v>6</v>
      </c>
    </row>
    <row r="4" spans="1:20" s="53" customFormat="1" ht="15.75" customHeight="1" x14ac:dyDescent="0.25">
      <c r="A4" s="50">
        <v>1916</v>
      </c>
      <c r="B4" s="50">
        <v>12</v>
      </c>
      <c r="C4" s="51">
        <f t="shared" ref="C4:C67" si="0">D4/B4</f>
        <v>6.1499999999999986</v>
      </c>
      <c r="D4" s="51">
        <f t="shared" ref="D4:D67" si="1">SUM(I4:T4)</f>
        <v>73.799999999999983</v>
      </c>
      <c r="E4" s="49">
        <v>329.97</v>
      </c>
      <c r="F4" s="49">
        <f t="shared" ref="F4:F67" si="2">E4/C4</f>
        <v>53.653658536585382</v>
      </c>
      <c r="G4" s="52">
        <f t="shared" ref="G4:G67" si="3">C4/E4</f>
        <v>1.8638058005273201E-2</v>
      </c>
      <c r="I4" s="49">
        <v>5</v>
      </c>
      <c r="J4" s="49">
        <v>10.1</v>
      </c>
      <c r="K4" s="49">
        <v>9.8000000000000007</v>
      </c>
      <c r="L4" s="49">
        <v>7.5</v>
      </c>
      <c r="M4" s="49">
        <v>7.4</v>
      </c>
      <c r="N4" s="49">
        <v>5</v>
      </c>
      <c r="O4" s="49">
        <v>5.8</v>
      </c>
      <c r="P4" s="49">
        <v>4.4000000000000004</v>
      </c>
      <c r="Q4" s="49">
        <v>4</v>
      </c>
      <c r="R4" s="49">
        <v>5.2</v>
      </c>
      <c r="S4" s="49">
        <v>5.5</v>
      </c>
      <c r="T4" s="49">
        <v>4.0999999999999996</v>
      </c>
    </row>
    <row r="5" spans="1:20" s="53" customFormat="1" ht="15.75" customHeight="1" x14ac:dyDescent="0.25">
      <c r="A5" s="50">
        <v>1917</v>
      </c>
      <c r="B5" s="50">
        <v>12</v>
      </c>
      <c r="C5" s="51">
        <f t="shared" si="0"/>
        <v>4.9666666666666659</v>
      </c>
      <c r="D5" s="51">
        <f t="shared" si="1"/>
        <v>59.599999999999994</v>
      </c>
      <c r="E5" s="49">
        <v>329.97</v>
      </c>
      <c r="F5" s="49">
        <f t="shared" si="2"/>
        <v>66.436912751677866</v>
      </c>
      <c r="G5" s="52">
        <f t="shared" si="3"/>
        <v>1.505187340263256E-2</v>
      </c>
      <c r="I5" s="49">
        <v>5</v>
      </c>
      <c r="J5" s="49">
        <v>6.1</v>
      </c>
      <c r="K5" s="49">
        <v>5.6</v>
      </c>
      <c r="L5" s="49">
        <v>4</v>
      </c>
      <c r="M5" s="49">
        <v>3.9</v>
      </c>
      <c r="N5" s="49">
        <v>5</v>
      </c>
      <c r="O5" s="49">
        <v>5</v>
      </c>
      <c r="P5" s="49">
        <v>5</v>
      </c>
      <c r="Q5" s="49">
        <v>5</v>
      </c>
      <c r="R5" s="49">
        <v>5</v>
      </c>
      <c r="S5" s="49">
        <v>5</v>
      </c>
      <c r="T5" s="49">
        <v>5</v>
      </c>
    </row>
    <row r="6" spans="1:20" s="53" customFormat="1" ht="15.75" customHeight="1" x14ac:dyDescent="0.25">
      <c r="A6" s="50">
        <v>1918</v>
      </c>
      <c r="B6" s="50">
        <v>12</v>
      </c>
      <c r="C6" s="51">
        <f t="shared" si="0"/>
        <v>2.5416666666666665</v>
      </c>
      <c r="D6" s="51">
        <f t="shared" si="1"/>
        <v>30.5</v>
      </c>
      <c r="E6" s="49">
        <v>329.97</v>
      </c>
      <c r="F6" s="49">
        <f t="shared" si="2"/>
        <v>129.82426229508198</v>
      </c>
      <c r="G6" s="52">
        <f t="shared" si="3"/>
        <v>7.7027204493337765E-3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4</v>
      </c>
      <c r="P6" s="49">
        <v>4</v>
      </c>
      <c r="Q6" s="49">
        <v>5.4</v>
      </c>
      <c r="R6" s="49">
        <v>5.7</v>
      </c>
      <c r="S6" s="49">
        <v>6</v>
      </c>
      <c r="T6" s="49">
        <v>5.4</v>
      </c>
    </row>
    <row r="7" spans="1:20" s="53" customFormat="1" ht="15.75" customHeight="1" x14ac:dyDescent="0.25">
      <c r="A7" s="50">
        <v>1919</v>
      </c>
      <c r="B7" s="50">
        <v>12</v>
      </c>
      <c r="C7" s="51">
        <f t="shared" si="0"/>
        <v>18.641666666666666</v>
      </c>
      <c r="D7" s="51">
        <f t="shared" si="1"/>
        <v>223.7</v>
      </c>
      <c r="E7" s="49">
        <v>329.97</v>
      </c>
      <c r="F7" s="49">
        <f t="shared" si="2"/>
        <v>17.700670540902998</v>
      </c>
      <c r="G7" s="52">
        <f t="shared" si="3"/>
        <v>5.6495034902162816E-2</v>
      </c>
      <c r="I7" s="49">
        <v>5</v>
      </c>
      <c r="J7" s="49">
        <v>5</v>
      </c>
      <c r="K7" s="49">
        <v>2</v>
      </c>
      <c r="L7" s="49">
        <v>2</v>
      </c>
      <c r="M7" s="49">
        <v>3.5</v>
      </c>
      <c r="N7" s="49">
        <v>4</v>
      </c>
      <c r="O7" s="49">
        <v>32.9</v>
      </c>
      <c r="P7" s="49">
        <v>33.5</v>
      </c>
      <c r="Q7" s="49">
        <v>34</v>
      </c>
      <c r="R7" s="49">
        <v>33.799999999999997</v>
      </c>
      <c r="S7" s="49">
        <v>34</v>
      </c>
      <c r="T7" s="49">
        <v>34</v>
      </c>
    </row>
    <row r="8" spans="1:20" s="53" customFormat="1" ht="15.75" customHeight="1" x14ac:dyDescent="0.25">
      <c r="A8" s="50">
        <v>1920</v>
      </c>
      <c r="B8" s="50">
        <v>12</v>
      </c>
      <c r="C8" s="51">
        <f t="shared" si="0"/>
        <v>45.466666666666669</v>
      </c>
      <c r="D8" s="51">
        <f t="shared" si="1"/>
        <v>545.6</v>
      </c>
      <c r="E8" s="49">
        <v>329.97</v>
      </c>
      <c r="F8" s="49">
        <f t="shared" si="2"/>
        <v>7.2574046920821118</v>
      </c>
      <c r="G8" s="52">
        <f t="shared" si="3"/>
        <v>0.13779030416906587</v>
      </c>
      <c r="I8" s="49">
        <v>34</v>
      </c>
      <c r="J8" s="49">
        <v>39.1</v>
      </c>
      <c r="K8" s="49">
        <v>40.9</v>
      </c>
      <c r="L8" s="49">
        <v>41</v>
      </c>
      <c r="M8" s="49">
        <v>42.6</v>
      </c>
      <c r="N8" s="49">
        <v>38.800000000000004</v>
      </c>
      <c r="O8" s="49">
        <v>57.3</v>
      </c>
      <c r="P8" s="49">
        <v>61.1</v>
      </c>
      <c r="Q8" s="49">
        <v>62.1</v>
      </c>
      <c r="R8" s="49">
        <v>56.7</v>
      </c>
      <c r="S8" s="49">
        <v>36</v>
      </c>
      <c r="T8" s="49">
        <v>36</v>
      </c>
    </row>
    <row r="9" spans="1:20" s="53" customFormat="1" ht="15.75" customHeight="1" x14ac:dyDescent="0.25">
      <c r="A9" s="50">
        <v>1921</v>
      </c>
      <c r="B9" s="50">
        <v>12</v>
      </c>
      <c r="C9" s="51">
        <f t="shared" si="0"/>
        <v>35.266666666666666</v>
      </c>
      <c r="D9" s="51">
        <f t="shared" si="1"/>
        <v>423.2</v>
      </c>
      <c r="E9" s="49">
        <v>329.97</v>
      </c>
      <c r="F9" s="49">
        <f t="shared" si="2"/>
        <v>9.356427221172023</v>
      </c>
      <c r="G9" s="52">
        <f t="shared" si="3"/>
        <v>0.10687840308714933</v>
      </c>
      <c r="I9" s="49">
        <v>34</v>
      </c>
      <c r="J9" s="49">
        <v>32.5</v>
      </c>
      <c r="K9" s="49">
        <v>32</v>
      </c>
      <c r="L9" s="49">
        <v>34.6</v>
      </c>
      <c r="M9" s="49">
        <v>34.200000000000003</v>
      </c>
      <c r="N9" s="49">
        <v>35.6</v>
      </c>
      <c r="O9" s="49">
        <v>38.799999999999997</v>
      </c>
      <c r="P9" s="49">
        <v>40.1</v>
      </c>
      <c r="Q9" s="49">
        <v>36.4</v>
      </c>
      <c r="R9" s="49">
        <v>35.1</v>
      </c>
      <c r="S9" s="49">
        <v>34.9</v>
      </c>
      <c r="T9" s="49">
        <v>35</v>
      </c>
    </row>
    <row r="10" spans="1:20" s="53" customFormat="1" ht="15.75" customHeight="1" x14ac:dyDescent="0.25">
      <c r="A10" s="50">
        <v>1922</v>
      </c>
      <c r="B10" s="50">
        <v>12</v>
      </c>
      <c r="C10" s="51">
        <f t="shared" si="0"/>
        <v>29.333333333333332</v>
      </c>
      <c r="D10" s="51">
        <f t="shared" si="1"/>
        <v>352</v>
      </c>
      <c r="E10" s="49">
        <v>329.97</v>
      </c>
      <c r="F10" s="49">
        <f t="shared" si="2"/>
        <v>11.248977272727274</v>
      </c>
      <c r="G10" s="52">
        <f t="shared" si="3"/>
        <v>8.8896970431655398E-2</v>
      </c>
      <c r="I10" s="49">
        <v>35</v>
      </c>
      <c r="J10" s="49">
        <v>35</v>
      </c>
      <c r="K10" s="49">
        <v>35</v>
      </c>
      <c r="L10" s="49">
        <v>31</v>
      </c>
      <c r="M10" s="49">
        <v>0</v>
      </c>
      <c r="N10" s="49">
        <v>0</v>
      </c>
      <c r="O10" s="49">
        <v>36</v>
      </c>
      <c r="P10" s="49">
        <v>36</v>
      </c>
      <c r="Q10" s="49">
        <v>36</v>
      </c>
      <c r="R10" s="49">
        <v>36</v>
      </c>
      <c r="S10" s="49">
        <v>36</v>
      </c>
      <c r="T10" s="49">
        <v>36</v>
      </c>
    </row>
    <row r="11" spans="1:20" s="53" customFormat="1" ht="15.75" customHeight="1" x14ac:dyDescent="0.25">
      <c r="A11" s="50">
        <v>1923</v>
      </c>
      <c r="B11" s="50">
        <v>12</v>
      </c>
      <c r="C11" s="51">
        <f t="shared" si="0"/>
        <v>46.866666666666667</v>
      </c>
      <c r="D11" s="51">
        <f t="shared" si="1"/>
        <v>562.4</v>
      </c>
      <c r="E11" s="49">
        <v>329.97</v>
      </c>
      <c r="F11" s="49">
        <f t="shared" si="2"/>
        <v>7.0406116642958754</v>
      </c>
      <c r="G11" s="52">
        <f t="shared" si="3"/>
        <v>0.14203311412148578</v>
      </c>
      <c r="I11" s="49">
        <v>36</v>
      </c>
      <c r="J11" s="49">
        <v>42.5</v>
      </c>
      <c r="K11" s="49">
        <v>49</v>
      </c>
      <c r="L11" s="49">
        <v>49</v>
      </c>
      <c r="M11" s="49">
        <v>49</v>
      </c>
      <c r="N11" s="49">
        <v>48.9</v>
      </c>
      <c r="O11" s="49">
        <v>48</v>
      </c>
      <c r="P11" s="49">
        <v>48</v>
      </c>
      <c r="Q11" s="49">
        <v>48</v>
      </c>
      <c r="R11" s="49">
        <v>48</v>
      </c>
      <c r="S11" s="49">
        <v>48</v>
      </c>
      <c r="T11" s="49">
        <v>48</v>
      </c>
    </row>
    <row r="12" spans="1:20" s="53" customFormat="1" ht="15.75" customHeight="1" x14ac:dyDescent="0.25">
      <c r="A12" s="50">
        <v>1924</v>
      </c>
      <c r="B12" s="50">
        <v>12</v>
      </c>
      <c r="C12" s="51">
        <f t="shared" si="0"/>
        <v>41.5</v>
      </c>
      <c r="D12" s="51">
        <f t="shared" si="1"/>
        <v>498</v>
      </c>
      <c r="E12" s="49">
        <v>329.97</v>
      </c>
      <c r="F12" s="49">
        <f t="shared" si="2"/>
        <v>7.951084337349398</v>
      </c>
      <c r="G12" s="52">
        <f t="shared" si="3"/>
        <v>0.12576900930387611</v>
      </c>
      <c r="I12" s="49">
        <v>48</v>
      </c>
      <c r="J12" s="49">
        <v>48</v>
      </c>
      <c r="K12" s="49">
        <v>48</v>
      </c>
      <c r="L12" s="49">
        <v>48</v>
      </c>
      <c r="M12" s="49">
        <v>48</v>
      </c>
      <c r="N12" s="49">
        <v>48</v>
      </c>
      <c r="O12" s="49">
        <v>35</v>
      </c>
      <c r="P12" s="49">
        <v>35</v>
      </c>
      <c r="Q12" s="49">
        <v>35</v>
      </c>
      <c r="R12" s="49">
        <v>35</v>
      </c>
      <c r="S12" s="49">
        <v>35</v>
      </c>
      <c r="T12" s="49">
        <v>35</v>
      </c>
    </row>
    <row r="13" spans="1:20" s="53" customFormat="1" ht="15.75" customHeight="1" x14ac:dyDescent="0.25">
      <c r="A13" s="50">
        <v>1925</v>
      </c>
      <c r="B13" s="50">
        <v>12</v>
      </c>
      <c r="C13" s="51">
        <f t="shared" si="0"/>
        <v>21.416666666666668</v>
      </c>
      <c r="D13" s="51">
        <f t="shared" si="1"/>
        <v>257</v>
      </c>
      <c r="E13" s="49">
        <v>329.97</v>
      </c>
      <c r="F13" s="49">
        <f t="shared" si="2"/>
        <v>15.40715953307393</v>
      </c>
      <c r="G13" s="52">
        <f t="shared" si="3"/>
        <v>6.4904890343566585E-2</v>
      </c>
      <c r="I13" s="49">
        <v>35</v>
      </c>
      <c r="J13" s="49">
        <v>28.7</v>
      </c>
      <c r="K13" s="49">
        <v>28</v>
      </c>
      <c r="L13" s="49">
        <v>28</v>
      </c>
      <c r="M13" s="49">
        <v>15.3</v>
      </c>
      <c r="N13" s="49">
        <v>14</v>
      </c>
      <c r="O13" s="49">
        <v>18</v>
      </c>
      <c r="P13" s="49">
        <v>18</v>
      </c>
      <c r="Q13" s="49">
        <v>18</v>
      </c>
      <c r="R13" s="49">
        <v>18</v>
      </c>
      <c r="S13" s="49">
        <v>18</v>
      </c>
      <c r="T13" s="49">
        <v>18</v>
      </c>
    </row>
    <row r="14" spans="1:20" s="53" customFormat="1" ht="15.75" customHeight="1" x14ac:dyDescent="0.25">
      <c r="A14" s="50">
        <v>1926</v>
      </c>
      <c r="B14" s="50">
        <v>12</v>
      </c>
      <c r="C14" s="51">
        <f t="shared" si="0"/>
        <v>15.983333333333334</v>
      </c>
      <c r="D14" s="51">
        <f t="shared" si="1"/>
        <v>191.8</v>
      </c>
      <c r="E14" s="49">
        <v>329.97</v>
      </c>
      <c r="F14" s="49">
        <f t="shared" si="2"/>
        <v>20.644629822732014</v>
      </c>
      <c r="G14" s="52">
        <f t="shared" si="3"/>
        <v>4.8438746956794052E-2</v>
      </c>
      <c r="I14" s="49">
        <v>18</v>
      </c>
      <c r="J14" s="49">
        <v>18</v>
      </c>
      <c r="K14" s="49">
        <v>18</v>
      </c>
      <c r="L14" s="49">
        <v>18</v>
      </c>
      <c r="M14" s="49">
        <v>18</v>
      </c>
      <c r="N14" s="49">
        <v>17.8</v>
      </c>
      <c r="O14" s="49">
        <v>14</v>
      </c>
      <c r="P14" s="49">
        <v>14</v>
      </c>
      <c r="Q14" s="49">
        <v>14</v>
      </c>
      <c r="R14" s="49">
        <v>14</v>
      </c>
      <c r="S14" s="49">
        <v>14</v>
      </c>
      <c r="T14" s="49">
        <v>14</v>
      </c>
    </row>
    <row r="15" spans="1:20" s="53" customFormat="1" ht="15.75" customHeight="1" x14ac:dyDescent="0.25">
      <c r="A15" s="50">
        <v>1927</v>
      </c>
      <c r="B15" s="50">
        <v>12</v>
      </c>
      <c r="C15" s="51">
        <f t="shared" si="0"/>
        <v>16.324999999999999</v>
      </c>
      <c r="D15" s="51">
        <f t="shared" si="1"/>
        <v>195.9</v>
      </c>
      <c r="E15" s="49">
        <v>329.97</v>
      </c>
      <c r="F15" s="49">
        <f t="shared" si="2"/>
        <v>20.212557427258808</v>
      </c>
      <c r="G15" s="52">
        <f t="shared" si="3"/>
        <v>4.9474194623753666E-2</v>
      </c>
      <c r="I15" s="49">
        <v>13</v>
      </c>
      <c r="J15" s="49">
        <v>13</v>
      </c>
      <c r="K15" s="49">
        <v>13</v>
      </c>
      <c r="L15" s="49">
        <v>14.6</v>
      </c>
      <c r="M15" s="49">
        <v>18.3</v>
      </c>
      <c r="N15" s="49">
        <v>12</v>
      </c>
      <c r="O15" s="49">
        <v>12</v>
      </c>
      <c r="P15" s="49">
        <v>20</v>
      </c>
      <c r="Q15" s="49">
        <v>20</v>
      </c>
      <c r="R15" s="49">
        <v>20</v>
      </c>
      <c r="S15" s="49">
        <v>20</v>
      </c>
      <c r="T15" s="49">
        <v>20</v>
      </c>
    </row>
    <row r="16" spans="1:20" s="53" customFormat="1" ht="15.75" customHeight="1" x14ac:dyDescent="0.25">
      <c r="A16" s="50">
        <v>1928</v>
      </c>
      <c r="B16" s="50">
        <v>12</v>
      </c>
      <c r="C16" s="51">
        <f t="shared" si="0"/>
        <v>14.691666666666668</v>
      </c>
      <c r="D16" s="51">
        <f t="shared" si="1"/>
        <v>176.3</v>
      </c>
      <c r="E16" s="49">
        <v>329.97</v>
      </c>
      <c r="F16" s="49">
        <f t="shared" si="2"/>
        <v>22.459671015314804</v>
      </c>
      <c r="G16" s="52">
        <f t="shared" si="3"/>
        <v>4.4524249679263772E-2</v>
      </c>
      <c r="I16" s="49">
        <v>20</v>
      </c>
      <c r="J16" s="49">
        <v>20</v>
      </c>
      <c r="K16" s="49">
        <v>20</v>
      </c>
      <c r="L16" s="49">
        <v>20</v>
      </c>
      <c r="M16" s="49">
        <v>20</v>
      </c>
      <c r="N16" s="49">
        <v>20</v>
      </c>
      <c r="O16" s="49">
        <v>12</v>
      </c>
      <c r="P16" s="49">
        <v>12</v>
      </c>
      <c r="Q16" s="49">
        <v>12</v>
      </c>
      <c r="R16" s="49">
        <v>12</v>
      </c>
      <c r="S16" s="49">
        <v>7</v>
      </c>
      <c r="T16" s="49">
        <v>1.3</v>
      </c>
    </row>
    <row r="17" spans="1:20" s="53" customFormat="1" ht="15.75" customHeight="1" x14ac:dyDescent="0.25">
      <c r="A17" s="50">
        <v>1929</v>
      </c>
      <c r="B17" s="50">
        <v>12</v>
      </c>
      <c r="C17" s="51">
        <f t="shared" si="0"/>
        <v>7.2583333333333329</v>
      </c>
      <c r="D17" s="51">
        <f t="shared" si="1"/>
        <v>87.1</v>
      </c>
      <c r="E17" s="49">
        <v>329.97</v>
      </c>
      <c r="F17" s="49">
        <f t="shared" si="2"/>
        <v>45.460849598163037</v>
      </c>
      <c r="G17" s="52">
        <f t="shared" si="3"/>
        <v>2.1996949217605637E-2</v>
      </c>
      <c r="I17" s="49">
        <v>1</v>
      </c>
      <c r="J17" s="49">
        <v>1</v>
      </c>
      <c r="K17" s="49">
        <v>8</v>
      </c>
      <c r="L17" s="49">
        <v>15</v>
      </c>
      <c r="M17" s="49">
        <v>13.1</v>
      </c>
      <c r="N17" s="49">
        <v>7</v>
      </c>
      <c r="O17" s="49">
        <v>7</v>
      </c>
      <c r="P17" s="49">
        <v>7</v>
      </c>
      <c r="Q17" s="49">
        <v>7</v>
      </c>
      <c r="R17" s="49">
        <v>7</v>
      </c>
      <c r="S17" s="49">
        <v>7</v>
      </c>
      <c r="T17" s="49">
        <v>7</v>
      </c>
    </row>
    <row r="18" spans="1:20" s="53" customFormat="1" ht="15.75" customHeight="1" x14ac:dyDescent="0.25">
      <c r="A18" s="50">
        <v>1930</v>
      </c>
      <c r="B18" s="50">
        <v>12</v>
      </c>
      <c r="C18" s="51">
        <f t="shared" si="0"/>
        <v>10.583333333333334</v>
      </c>
      <c r="D18" s="51">
        <f t="shared" si="1"/>
        <v>127</v>
      </c>
      <c r="E18" s="49">
        <v>329.97</v>
      </c>
      <c r="F18" s="49">
        <f t="shared" si="2"/>
        <v>31.178267716535434</v>
      </c>
      <c r="G18" s="52">
        <f t="shared" si="3"/>
        <v>3.207362285460294E-2</v>
      </c>
      <c r="I18" s="49">
        <v>7</v>
      </c>
      <c r="J18" s="49">
        <v>7</v>
      </c>
      <c r="K18" s="49">
        <v>7</v>
      </c>
      <c r="L18" s="49">
        <v>13.3</v>
      </c>
      <c r="M18" s="49">
        <v>26</v>
      </c>
      <c r="N18" s="49">
        <v>24.7</v>
      </c>
      <c r="O18" s="49">
        <v>7</v>
      </c>
      <c r="P18" s="49">
        <v>7</v>
      </c>
      <c r="Q18" s="49">
        <v>7</v>
      </c>
      <c r="R18" s="49">
        <v>7</v>
      </c>
      <c r="S18" s="49">
        <v>7</v>
      </c>
      <c r="T18" s="49">
        <v>7</v>
      </c>
    </row>
    <row r="19" spans="1:20" s="53" customFormat="1" ht="15.75" customHeight="1" x14ac:dyDescent="0.25">
      <c r="A19" s="50">
        <v>1931</v>
      </c>
      <c r="B19" s="50">
        <v>12</v>
      </c>
      <c r="C19" s="51">
        <f t="shared" si="0"/>
        <v>8.4166666666666661</v>
      </c>
      <c r="D19" s="51">
        <f t="shared" si="1"/>
        <v>101</v>
      </c>
      <c r="E19" s="49">
        <v>329.97</v>
      </c>
      <c r="F19" s="49">
        <f t="shared" si="2"/>
        <v>39.204356435643568</v>
      </c>
      <c r="G19" s="52">
        <f t="shared" si="3"/>
        <v>2.5507369356810212E-2</v>
      </c>
      <c r="I19" s="49">
        <v>7</v>
      </c>
      <c r="J19" s="49">
        <v>7</v>
      </c>
      <c r="K19" s="49">
        <v>7</v>
      </c>
      <c r="L19" s="49">
        <v>15</v>
      </c>
      <c r="M19" s="49">
        <v>11.1</v>
      </c>
      <c r="N19" s="49">
        <v>7</v>
      </c>
      <c r="O19" s="49">
        <v>7</v>
      </c>
      <c r="P19" s="49">
        <v>7</v>
      </c>
      <c r="Q19" s="49">
        <v>7</v>
      </c>
      <c r="R19" s="49">
        <v>7.9</v>
      </c>
      <c r="S19" s="49">
        <v>9</v>
      </c>
      <c r="T19" s="49">
        <v>9</v>
      </c>
    </row>
    <row r="20" spans="1:20" s="53" customFormat="1" ht="15.75" customHeight="1" x14ac:dyDescent="0.25">
      <c r="A20" s="50">
        <v>1932</v>
      </c>
      <c r="B20" s="50">
        <v>12</v>
      </c>
      <c r="C20" s="51">
        <f t="shared" si="0"/>
        <v>11.475</v>
      </c>
      <c r="D20" s="51">
        <f t="shared" si="1"/>
        <v>137.69999999999999</v>
      </c>
      <c r="E20" s="49">
        <v>329.97</v>
      </c>
      <c r="F20" s="49">
        <f t="shared" si="2"/>
        <v>28.75555555555556</v>
      </c>
      <c r="G20" s="52">
        <f t="shared" si="3"/>
        <v>3.4775888717156103E-2</v>
      </c>
      <c r="I20" s="49">
        <v>9</v>
      </c>
      <c r="J20" s="49">
        <v>9</v>
      </c>
      <c r="K20" s="49">
        <v>11.8</v>
      </c>
      <c r="L20" s="49">
        <v>12</v>
      </c>
      <c r="M20" s="49">
        <v>12</v>
      </c>
      <c r="N20" s="49">
        <v>12</v>
      </c>
      <c r="O20" s="49">
        <v>12</v>
      </c>
      <c r="P20" s="49">
        <v>12</v>
      </c>
      <c r="Q20" s="49">
        <v>12</v>
      </c>
      <c r="R20" s="49">
        <v>12</v>
      </c>
      <c r="S20" s="49">
        <v>11.9</v>
      </c>
      <c r="T20" s="49">
        <v>12</v>
      </c>
    </row>
    <row r="21" spans="1:20" s="53" customFormat="1" ht="15.75" customHeight="1" x14ac:dyDescent="0.25">
      <c r="A21" s="50">
        <v>1933</v>
      </c>
      <c r="B21" s="50">
        <v>12</v>
      </c>
      <c r="C21" s="51">
        <f t="shared" si="0"/>
        <v>8.0333333333333332</v>
      </c>
      <c r="D21" s="51">
        <f t="shared" si="1"/>
        <v>96.399999999999991</v>
      </c>
      <c r="E21" s="49">
        <v>329.97</v>
      </c>
      <c r="F21" s="49">
        <f t="shared" si="2"/>
        <v>41.075103734439836</v>
      </c>
      <c r="G21" s="52">
        <f t="shared" si="3"/>
        <v>2.4345647584123806E-2</v>
      </c>
      <c r="I21" s="49">
        <v>12</v>
      </c>
      <c r="J21" s="49">
        <v>10.6</v>
      </c>
      <c r="K21" s="49">
        <v>10</v>
      </c>
      <c r="L21" s="49">
        <v>7.3</v>
      </c>
      <c r="M21" s="49">
        <v>7</v>
      </c>
      <c r="N21" s="49">
        <v>7</v>
      </c>
      <c r="O21" s="49">
        <v>6.4</v>
      </c>
      <c r="P21" s="49">
        <v>5</v>
      </c>
      <c r="Q21" s="49">
        <v>6.1</v>
      </c>
      <c r="R21" s="49">
        <v>9.8000000000000007</v>
      </c>
      <c r="S21" s="49">
        <v>8.5</v>
      </c>
      <c r="T21" s="49">
        <v>6.7</v>
      </c>
    </row>
    <row r="22" spans="1:20" s="53" customFormat="1" ht="15.75" customHeight="1" x14ac:dyDescent="0.25">
      <c r="A22" s="50">
        <v>1934</v>
      </c>
      <c r="B22" s="50">
        <v>12</v>
      </c>
      <c r="C22" s="51">
        <f t="shared" si="0"/>
        <v>9.5583333333333336</v>
      </c>
      <c r="D22" s="51">
        <f t="shared" si="1"/>
        <v>114.7</v>
      </c>
      <c r="E22" s="49">
        <v>329.97</v>
      </c>
      <c r="F22" s="49">
        <f t="shared" si="2"/>
        <v>34.521708805579777</v>
      </c>
      <c r="G22" s="52">
        <f t="shared" si="3"/>
        <v>2.8967279853724073E-2</v>
      </c>
      <c r="I22" s="49">
        <v>16.7</v>
      </c>
      <c r="J22" s="49">
        <v>8</v>
      </c>
      <c r="K22" s="49">
        <v>8</v>
      </c>
      <c r="L22" s="49">
        <v>8</v>
      </c>
      <c r="M22" s="49">
        <v>8</v>
      </c>
      <c r="N22" s="49">
        <v>8</v>
      </c>
      <c r="O22" s="49">
        <v>8</v>
      </c>
      <c r="P22" s="49">
        <v>8</v>
      </c>
      <c r="Q22" s="49">
        <v>8</v>
      </c>
      <c r="R22" s="49">
        <v>8</v>
      </c>
      <c r="S22" s="49">
        <v>13</v>
      </c>
      <c r="T22" s="49">
        <v>13</v>
      </c>
    </row>
    <row r="23" spans="1:20" s="53" customFormat="1" ht="15.75" customHeight="1" x14ac:dyDescent="0.25">
      <c r="A23" s="50">
        <v>1935</v>
      </c>
      <c r="B23" s="50">
        <v>12</v>
      </c>
      <c r="C23" s="51">
        <f t="shared" si="0"/>
        <v>13</v>
      </c>
      <c r="D23" s="51">
        <f t="shared" si="1"/>
        <v>156</v>
      </c>
      <c r="E23" s="49">
        <v>329.97</v>
      </c>
      <c r="F23" s="49">
        <f t="shared" si="2"/>
        <v>25.382307692307695</v>
      </c>
      <c r="G23" s="52">
        <f t="shared" si="3"/>
        <v>3.9397520986756369E-2</v>
      </c>
      <c r="I23" s="49">
        <v>13</v>
      </c>
      <c r="J23" s="49">
        <v>13</v>
      </c>
      <c r="K23" s="49">
        <v>13</v>
      </c>
      <c r="L23" s="49">
        <v>13</v>
      </c>
      <c r="M23" s="49">
        <v>13</v>
      </c>
      <c r="N23" s="49">
        <v>13</v>
      </c>
      <c r="O23" s="49">
        <v>13</v>
      </c>
      <c r="P23" s="49">
        <v>13</v>
      </c>
      <c r="Q23" s="49">
        <v>13</v>
      </c>
      <c r="R23" s="49">
        <v>13</v>
      </c>
      <c r="S23" s="49">
        <v>13</v>
      </c>
      <c r="T23" s="49">
        <v>13</v>
      </c>
    </row>
    <row r="24" spans="1:20" s="53" customFormat="1" ht="15.75" customHeight="1" x14ac:dyDescent="0.25">
      <c r="A24" s="50">
        <v>1936</v>
      </c>
      <c r="B24" s="50">
        <v>12</v>
      </c>
      <c r="C24" s="51">
        <f t="shared" si="0"/>
        <v>27.491666666666671</v>
      </c>
      <c r="D24" s="51">
        <f t="shared" si="1"/>
        <v>329.90000000000003</v>
      </c>
      <c r="E24" s="49">
        <v>329.97</v>
      </c>
      <c r="F24" s="49">
        <f t="shared" si="2"/>
        <v>12.002546226129128</v>
      </c>
      <c r="G24" s="52">
        <f t="shared" si="3"/>
        <v>8.331565495853159E-2</v>
      </c>
      <c r="I24" s="49">
        <v>13</v>
      </c>
      <c r="J24" s="49">
        <v>13</v>
      </c>
      <c r="K24" s="49">
        <v>13</v>
      </c>
      <c r="L24" s="49">
        <v>13</v>
      </c>
      <c r="M24" s="49">
        <v>32.299999999999997</v>
      </c>
      <c r="N24" s="49">
        <v>38</v>
      </c>
      <c r="O24" s="49">
        <v>35</v>
      </c>
      <c r="P24" s="49">
        <v>35</v>
      </c>
      <c r="Q24" s="49">
        <v>35</v>
      </c>
      <c r="R24" s="49">
        <v>36</v>
      </c>
      <c r="S24" s="49">
        <v>33.6</v>
      </c>
      <c r="T24" s="49">
        <v>33</v>
      </c>
    </row>
    <row r="25" spans="1:20" s="53" customFormat="1" ht="15.75" customHeight="1" x14ac:dyDescent="0.25">
      <c r="A25" s="50">
        <v>1937</v>
      </c>
      <c r="B25" s="50">
        <v>12</v>
      </c>
      <c r="C25" s="51">
        <f t="shared" si="0"/>
        <v>33.158333333333331</v>
      </c>
      <c r="D25" s="51">
        <f t="shared" si="1"/>
        <v>397.9</v>
      </c>
      <c r="E25" s="49">
        <v>329.97</v>
      </c>
      <c r="F25" s="49">
        <f t="shared" si="2"/>
        <v>9.9513445589344069</v>
      </c>
      <c r="G25" s="52">
        <f t="shared" si="3"/>
        <v>0.10048893333737409</v>
      </c>
      <c r="I25" s="49">
        <v>29.1</v>
      </c>
      <c r="J25" s="49">
        <v>21</v>
      </c>
      <c r="K25" s="49">
        <v>24.8</v>
      </c>
      <c r="L25" s="49">
        <v>36</v>
      </c>
      <c r="M25" s="49">
        <v>36</v>
      </c>
      <c r="N25" s="49">
        <v>36</v>
      </c>
      <c r="O25" s="49">
        <v>36</v>
      </c>
      <c r="P25" s="49">
        <v>36</v>
      </c>
      <c r="Q25" s="49">
        <v>36</v>
      </c>
      <c r="R25" s="49">
        <v>36</v>
      </c>
      <c r="S25" s="49">
        <v>36</v>
      </c>
      <c r="T25" s="49">
        <v>35</v>
      </c>
    </row>
    <row r="26" spans="1:20" s="53" customFormat="1" ht="15.75" customHeight="1" x14ac:dyDescent="0.25">
      <c r="A26" s="50">
        <v>1938</v>
      </c>
      <c r="B26" s="50">
        <v>12</v>
      </c>
      <c r="C26" s="51">
        <f t="shared" si="0"/>
        <v>34.591666666666669</v>
      </c>
      <c r="D26" s="51">
        <f t="shared" si="1"/>
        <v>415.1</v>
      </c>
      <c r="E26" s="49">
        <v>329.97</v>
      </c>
      <c r="F26" s="49">
        <f t="shared" si="2"/>
        <v>9.539002649963864</v>
      </c>
      <c r="G26" s="52">
        <f t="shared" si="3"/>
        <v>0.10483276257437545</v>
      </c>
      <c r="I26" s="49">
        <v>35</v>
      </c>
      <c r="J26" s="49">
        <v>35</v>
      </c>
      <c r="K26" s="49">
        <v>35.5</v>
      </c>
      <c r="L26" s="49">
        <v>36</v>
      </c>
      <c r="M26" s="49">
        <v>36</v>
      </c>
      <c r="N26" s="49">
        <v>36</v>
      </c>
      <c r="O26" s="49">
        <v>36</v>
      </c>
      <c r="P26" s="49">
        <v>36</v>
      </c>
      <c r="Q26" s="49">
        <v>36</v>
      </c>
      <c r="R26" s="49">
        <v>35.6</v>
      </c>
      <c r="S26" s="49">
        <v>29</v>
      </c>
      <c r="T26" s="49">
        <v>29</v>
      </c>
    </row>
    <row r="27" spans="1:20" s="53" customFormat="1" ht="15.75" customHeight="1" x14ac:dyDescent="0.25">
      <c r="A27" s="50">
        <v>1939</v>
      </c>
      <c r="B27" s="50">
        <v>12</v>
      </c>
      <c r="C27" s="51">
        <f t="shared" si="0"/>
        <v>37.966666666666669</v>
      </c>
      <c r="D27" s="51">
        <f t="shared" si="1"/>
        <v>455.6</v>
      </c>
      <c r="E27" s="49">
        <v>329.97</v>
      </c>
      <c r="F27" s="49">
        <f t="shared" si="2"/>
        <v>8.6910447761194032</v>
      </c>
      <c r="G27" s="52">
        <f t="shared" si="3"/>
        <v>0.11506096513824489</v>
      </c>
      <c r="I27" s="49">
        <v>35.799999999999997</v>
      </c>
      <c r="J27" s="49">
        <v>37</v>
      </c>
      <c r="K27" s="49">
        <v>38</v>
      </c>
      <c r="L27" s="49">
        <v>39</v>
      </c>
      <c r="M27" s="49">
        <v>38.1</v>
      </c>
      <c r="N27" s="49">
        <v>38</v>
      </c>
      <c r="O27" s="49">
        <v>39</v>
      </c>
      <c r="P27" s="49">
        <v>42.6</v>
      </c>
      <c r="Q27" s="49">
        <v>43</v>
      </c>
      <c r="R27" s="49">
        <v>42.3</v>
      </c>
      <c r="S27" s="49">
        <v>30.8</v>
      </c>
      <c r="T27" s="49">
        <v>32</v>
      </c>
    </row>
    <row r="28" spans="1:20" s="53" customFormat="1" ht="15.75" customHeight="1" x14ac:dyDescent="0.25">
      <c r="A28" s="50">
        <v>1940</v>
      </c>
      <c r="B28" s="50">
        <v>12</v>
      </c>
      <c r="C28" s="51">
        <f t="shared" si="0"/>
        <v>11.133333333333335</v>
      </c>
      <c r="D28" s="51">
        <f t="shared" si="1"/>
        <v>133.60000000000002</v>
      </c>
      <c r="E28" s="49">
        <v>329.97</v>
      </c>
      <c r="F28" s="49">
        <f t="shared" si="2"/>
        <v>29.638023952095807</v>
      </c>
      <c r="G28" s="52">
        <f t="shared" si="3"/>
        <v>3.3740441050196482E-2</v>
      </c>
      <c r="I28" s="49">
        <v>11.4</v>
      </c>
      <c r="J28" s="49">
        <v>5.7</v>
      </c>
      <c r="K28" s="49">
        <v>0</v>
      </c>
      <c r="L28" s="49">
        <v>2.6</v>
      </c>
      <c r="M28" s="49">
        <v>7.6</v>
      </c>
      <c r="N28" s="49">
        <v>8</v>
      </c>
      <c r="O28" s="49">
        <v>8</v>
      </c>
      <c r="P28" s="49">
        <v>8</v>
      </c>
      <c r="Q28" s="49">
        <v>3.6</v>
      </c>
      <c r="R28" s="49">
        <v>15.3</v>
      </c>
      <c r="S28" s="49">
        <v>52.6</v>
      </c>
      <c r="T28" s="49">
        <v>10.8</v>
      </c>
    </row>
    <row r="29" spans="1:20" s="53" customFormat="1" ht="15.75" customHeight="1" x14ac:dyDescent="0.25">
      <c r="A29" s="50">
        <v>1941</v>
      </c>
      <c r="B29" s="50">
        <v>12</v>
      </c>
      <c r="C29" s="51">
        <f t="shared" si="0"/>
        <v>9.9</v>
      </c>
      <c r="D29" s="51">
        <f t="shared" si="1"/>
        <v>118.8</v>
      </c>
      <c r="E29" s="49">
        <v>329.97</v>
      </c>
      <c r="F29" s="49">
        <f t="shared" si="2"/>
        <v>33.330303030303028</v>
      </c>
      <c r="G29" s="52">
        <f t="shared" si="3"/>
        <v>3.0002727520683697E-2</v>
      </c>
      <c r="I29" s="49">
        <v>1.6</v>
      </c>
      <c r="J29" s="49">
        <v>0</v>
      </c>
      <c r="K29" s="49">
        <v>0</v>
      </c>
      <c r="L29" s="49">
        <v>6.9</v>
      </c>
      <c r="M29" s="49">
        <v>10</v>
      </c>
      <c r="N29" s="49">
        <v>10</v>
      </c>
      <c r="O29" s="49">
        <v>14.8</v>
      </c>
      <c r="P29" s="49">
        <v>15</v>
      </c>
      <c r="Q29" s="49">
        <v>15</v>
      </c>
      <c r="R29" s="49">
        <v>15</v>
      </c>
      <c r="S29" s="49">
        <v>15</v>
      </c>
      <c r="T29" s="49">
        <v>15.5</v>
      </c>
    </row>
    <row r="30" spans="1:20" s="53" customFormat="1" ht="15.75" customHeight="1" x14ac:dyDescent="0.25">
      <c r="A30" s="50">
        <v>1942</v>
      </c>
      <c r="B30" s="50">
        <v>12</v>
      </c>
      <c r="C30" s="51">
        <f t="shared" si="0"/>
        <v>9.9416666666666664</v>
      </c>
      <c r="D30" s="51">
        <f t="shared" si="1"/>
        <v>119.3</v>
      </c>
      <c r="E30" s="49">
        <v>329.97</v>
      </c>
      <c r="F30" s="49">
        <f t="shared" si="2"/>
        <v>33.190611902766136</v>
      </c>
      <c r="G30" s="52">
        <f t="shared" si="3"/>
        <v>3.0129001626410478E-2</v>
      </c>
      <c r="I30" s="49">
        <v>11</v>
      </c>
      <c r="J30" s="49">
        <v>10</v>
      </c>
      <c r="K30" s="49">
        <v>3.8</v>
      </c>
      <c r="L30" s="49">
        <v>9.9</v>
      </c>
      <c r="M30" s="49">
        <v>14</v>
      </c>
      <c r="N30" s="49">
        <v>13</v>
      </c>
      <c r="O30" s="49">
        <v>13</v>
      </c>
      <c r="P30" s="49">
        <v>5.6</v>
      </c>
      <c r="Q30" s="49">
        <v>4</v>
      </c>
      <c r="R30" s="49">
        <v>3.4</v>
      </c>
      <c r="S30" s="49">
        <v>18</v>
      </c>
      <c r="T30" s="49">
        <v>13.6</v>
      </c>
    </row>
    <row r="31" spans="1:20" s="53" customFormat="1" ht="15.75" customHeight="1" x14ac:dyDescent="0.25">
      <c r="A31" s="50">
        <v>1943</v>
      </c>
      <c r="B31" s="50">
        <v>12</v>
      </c>
      <c r="C31" s="51">
        <f t="shared" si="0"/>
        <v>14.566666666666665</v>
      </c>
      <c r="D31" s="51">
        <f t="shared" si="1"/>
        <v>174.79999999999998</v>
      </c>
      <c r="E31" s="49">
        <v>329.97</v>
      </c>
      <c r="F31" s="49">
        <f t="shared" si="2"/>
        <v>22.652402745995428</v>
      </c>
      <c r="G31" s="52">
        <f t="shared" si="3"/>
        <v>4.4145427362083413E-2</v>
      </c>
      <c r="I31" s="49">
        <v>16</v>
      </c>
      <c r="J31" s="49">
        <v>16</v>
      </c>
      <c r="K31" s="49">
        <v>15</v>
      </c>
      <c r="L31" s="49">
        <v>14.8</v>
      </c>
      <c r="M31" s="49">
        <v>13.1</v>
      </c>
      <c r="N31" s="49">
        <v>9.6999999999999993</v>
      </c>
      <c r="O31" s="49">
        <v>8.5</v>
      </c>
      <c r="P31" s="49">
        <v>8</v>
      </c>
      <c r="Q31" s="49">
        <v>13.7</v>
      </c>
      <c r="R31" s="49">
        <v>20.3</v>
      </c>
      <c r="S31" s="49">
        <v>20</v>
      </c>
      <c r="T31" s="49">
        <v>19.7</v>
      </c>
    </row>
    <row r="32" spans="1:20" s="53" customFormat="1" ht="15.75" customHeight="1" x14ac:dyDescent="0.25">
      <c r="A32" s="50">
        <v>1944</v>
      </c>
      <c r="B32" s="50">
        <v>12</v>
      </c>
      <c r="C32" s="51">
        <f t="shared" si="0"/>
        <v>20.533333333333331</v>
      </c>
      <c r="D32" s="51">
        <f t="shared" si="1"/>
        <v>246.39999999999998</v>
      </c>
      <c r="E32" s="49">
        <v>329.97</v>
      </c>
      <c r="F32" s="49">
        <f t="shared" si="2"/>
        <v>16.069967532467537</v>
      </c>
      <c r="G32" s="52">
        <f t="shared" si="3"/>
        <v>6.222787930215877E-2</v>
      </c>
      <c r="I32" s="49">
        <v>19</v>
      </c>
      <c r="J32" s="49">
        <v>19</v>
      </c>
      <c r="K32" s="49">
        <v>19.8</v>
      </c>
      <c r="L32" s="49">
        <v>20.9</v>
      </c>
      <c r="M32" s="49">
        <v>21.5</v>
      </c>
      <c r="N32" s="49">
        <v>20</v>
      </c>
      <c r="O32" s="49">
        <v>19.5</v>
      </c>
      <c r="P32" s="49">
        <v>20</v>
      </c>
      <c r="Q32" s="49">
        <v>22.1</v>
      </c>
      <c r="R32" s="49">
        <v>23.8</v>
      </c>
      <c r="S32" s="49">
        <v>21.2</v>
      </c>
      <c r="T32" s="49">
        <v>19.600000000000001</v>
      </c>
    </row>
    <row r="33" spans="1:20" s="53" customFormat="1" ht="15.75" customHeight="1" x14ac:dyDescent="0.25">
      <c r="A33" s="50">
        <v>1945</v>
      </c>
      <c r="B33" s="50">
        <v>12</v>
      </c>
      <c r="C33" s="51">
        <f t="shared" si="0"/>
        <v>22.45</v>
      </c>
      <c r="D33" s="51">
        <f t="shared" si="1"/>
        <v>269.39999999999998</v>
      </c>
      <c r="E33" s="49">
        <v>329.97</v>
      </c>
      <c r="F33" s="49">
        <f t="shared" si="2"/>
        <v>14.697995545657017</v>
      </c>
      <c r="G33" s="52">
        <f t="shared" si="3"/>
        <v>6.8036488165590797E-2</v>
      </c>
      <c r="I33" s="49">
        <v>19</v>
      </c>
      <c r="J33" s="49">
        <v>19</v>
      </c>
      <c r="K33" s="49">
        <v>23.2</v>
      </c>
      <c r="L33" s="49">
        <v>24</v>
      </c>
      <c r="M33" s="49">
        <v>24</v>
      </c>
      <c r="N33" s="49">
        <v>24</v>
      </c>
      <c r="O33" s="49">
        <v>24</v>
      </c>
      <c r="P33" s="49">
        <v>24</v>
      </c>
      <c r="Q33" s="49">
        <v>24</v>
      </c>
      <c r="R33" s="49">
        <v>22.5</v>
      </c>
      <c r="S33" s="49">
        <v>20.7</v>
      </c>
      <c r="T33" s="49">
        <v>21</v>
      </c>
    </row>
    <row r="34" spans="1:20" s="53" customFormat="1" ht="15.75" customHeight="1" x14ac:dyDescent="0.25">
      <c r="A34" s="50">
        <v>1946</v>
      </c>
      <c r="B34" s="50">
        <v>12</v>
      </c>
      <c r="C34" s="51">
        <f t="shared" si="0"/>
        <v>22.633333333333336</v>
      </c>
      <c r="D34" s="51">
        <f t="shared" si="1"/>
        <v>271.60000000000002</v>
      </c>
      <c r="E34" s="49">
        <v>329.97</v>
      </c>
      <c r="F34" s="49">
        <f t="shared" si="2"/>
        <v>14.578939617083947</v>
      </c>
      <c r="G34" s="52">
        <f t="shared" si="3"/>
        <v>6.8592094230788658E-2</v>
      </c>
      <c r="I34" s="49">
        <v>22</v>
      </c>
      <c r="J34" s="49">
        <v>25.1</v>
      </c>
      <c r="K34" s="49">
        <v>26</v>
      </c>
      <c r="L34" s="49">
        <v>26</v>
      </c>
      <c r="M34" s="49">
        <v>23.1</v>
      </c>
      <c r="N34" s="49">
        <v>20.9</v>
      </c>
      <c r="O34" s="49">
        <v>21.2</v>
      </c>
      <c r="P34" s="49">
        <v>21.9</v>
      </c>
      <c r="Q34" s="49">
        <v>21</v>
      </c>
      <c r="R34" s="49">
        <v>23</v>
      </c>
      <c r="S34" s="49">
        <v>19.8</v>
      </c>
      <c r="T34" s="49">
        <v>21.6</v>
      </c>
    </row>
    <row r="35" spans="1:20" s="53" customFormat="1" ht="15.75" customHeight="1" x14ac:dyDescent="0.25">
      <c r="A35" s="50">
        <v>1947</v>
      </c>
      <c r="B35" s="50">
        <v>12</v>
      </c>
      <c r="C35" s="51">
        <f t="shared" si="0"/>
        <v>20.633333333333333</v>
      </c>
      <c r="D35" s="51">
        <f t="shared" si="1"/>
        <v>247.6</v>
      </c>
      <c r="E35" s="49">
        <v>329.97</v>
      </c>
      <c r="F35" s="49">
        <f t="shared" si="2"/>
        <v>15.992084006462036</v>
      </c>
      <c r="G35" s="52">
        <f t="shared" si="3"/>
        <v>6.2530937155903049E-2</v>
      </c>
      <c r="I35" s="49">
        <v>22.4</v>
      </c>
      <c r="J35" s="49">
        <v>22</v>
      </c>
      <c r="K35" s="49">
        <v>21.9</v>
      </c>
      <c r="L35" s="49">
        <v>22</v>
      </c>
      <c r="M35" s="49">
        <v>21.7</v>
      </c>
      <c r="N35" s="49">
        <v>20</v>
      </c>
      <c r="O35" s="49">
        <v>20</v>
      </c>
      <c r="P35" s="49">
        <v>20</v>
      </c>
      <c r="Q35" s="49">
        <v>20</v>
      </c>
      <c r="R35" s="49">
        <v>20</v>
      </c>
      <c r="S35" s="49">
        <v>18.600000000000001</v>
      </c>
      <c r="T35" s="49">
        <v>19</v>
      </c>
    </row>
    <row r="36" spans="1:20" s="53" customFormat="1" ht="15.75" customHeight="1" x14ac:dyDescent="0.25">
      <c r="A36" s="50">
        <v>1948</v>
      </c>
      <c r="B36" s="50">
        <v>12</v>
      </c>
      <c r="C36" s="51">
        <f t="shared" si="0"/>
        <v>18.541666666666668</v>
      </c>
      <c r="D36" s="51">
        <f t="shared" si="1"/>
        <v>222.50000000000003</v>
      </c>
      <c r="E36" s="49">
        <v>329.97</v>
      </c>
      <c r="F36" s="49">
        <f t="shared" si="2"/>
        <v>17.796134831460673</v>
      </c>
      <c r="G36" s="52">
        <f t="shared" si="3"/>
        <v>5.6191977048418544E-2</v>
      </c>
      <c r="I36" s="49">
        <v>19</v>
      </c>
      <c r="J36" s="49">
        <v>19</v>
      </c>
      <c r="K36" s="49">
        <v>19.2</v>
      </c>
      <c r="L36" s="49">
        <v>20</v>
      </c>
      <c r="M36" s="49">
        <v>20</v>
      </c>
      <c r="N36" s="49">
        <v>5.3</v>
      </c>
      <c r="O36" s="49">
        <v>17.8</v>
      </c>
      <c r="P36" s="49">
        <v>20</v>
      </c>
      <c r="Q36" s="49">
        <v>20</v>
      </c>
      <c r="R36" s="49">
        <v>20</v>
      </c>
      <c r="S36" s="49">
        <v>21.4</v>
      </c>
      <c r="T36" s="49">
        <v>20.8</v>
      </c>
    </row>
    <row r="37" spans="1:20" s="53" customFormat="1" ht="15.75" customHeight="1" x14ac:dyDescent="0.25">
      <c r="A37" s="50">
        <v>1949</v>
      </c>
      <c r="B37" s="50">
        <v>12</v>
      </c>
      <c r="C37" s="51">
        <f t="shared" si="0"/>
        <v>20.116666666666671</v>
      </c>
      <c r="D37" s="51">
        <f t="shared" si="1"/>
        <v>241.40000000000003</v>
      </c>
      <c r="E37" s="49">
        <v>329.97</v>
      </c>
      <c r="F37" s="49">
        <f t="shared" si="2"/>
        <v>16.40281690140845</v>
      </c>
      <c r="G37" s="52">
        <f t="shared" si="3"/>
        <v>6.0965138244890957E-2</v>
      </c>
      <c r="I37" s="49">
        <v>21</v>
      </c>
      <c r="J37" s="49">
        <v>21</v>
      </c>
      <c r="K37" s="49">
        <v>21.2</v>
      </c>
      <c r="L37" s="49">
        <v>20.6</v>
      </c>
      <c r="M37" s="49">
        <v>20.3</v>
      </c>
      <c r="N37" s="49">
        <v>19.100000000000001</v>
      </c>
      <c r="O37" s="49">
        <v>18</v>
      </c>
      <c r="P37" s="49">
        <v>19.3</v>
      </c>
      <c r="Q37" s="49">
        <v>20</v>
      </c>
      <c r="R37" s="49">
        <v>19.899999999999999</v>
      </c>
      <c r="S37" s="49">
        <v>20</v>
      </c>
      <c r="T37" s="49">
        <v>21</v>
      </c>
    </row>
    <row r="38" spans="1:20" s="53" customFormat="1" ht="15.75" customHeight="1" x14ac:dyDescent="0.25">
      <c r="A38" s="50">
        <v>1950</v>
      </c>
      <c r="B38" s="50">
        <v>12</v>
      </c>
      <c r="C38" s="51">
        <f t="shared" si="0"/>
        <v>21.516666666666669</v>
      </c>
      <c r="D38" s="51">
        <f t="shared" si="1"/>
        <v>258.20000000000005</v>
      </c>
      <c r="E38" s="49">
        <v>329.97</v>
      </c>
      <c r="F38" s="49">
        <f t="shared" si="2"/>
        <v>15.335553834237025</v>
      </c>
      <c r="G38" s="52">
        <f t="shared" si="3"/>
        <v>6.5207948197310864E-2</v>
      </c>
      <c r="I38" s="49">
        <v>21</v>
      </c>
      <c r="J38" s="49">
        <v>21</v>
      </c>
      <c r="K38" s="49">
        <v>21.7</v>
      </c>
      <c r="L38" s="49">
        <v>21.3</v>
      </c>
      <c r="M38" s="49">
        <v>21.5</v>
      </c>
      <c r="N38" s="49">
        <v>21</v>
      </c>
      <c r="O38" s="49">
        <v>21</v>
      </c>
      <c r="P38" s="49">
        <v>21</v>
      </c>
      <c r="Q38" s="49">
        <v>21</v>
      </c>
      <c r="R38" s="49">
        <v>20.8</v>
      </c>
      <c r="S38" s="49">
        <v>21.3</v>
      </c>
      <c r="T38" s="49">
        <v>25.6</v>
      </c>
    </row>
    <row r="39" spans="1:20" s="53" customFormat="1" ht="15.75" customHeight="1" x14ac:dyDescent="0.25">
      <c r="A39" s="50">
        <v>1951</v>
      </c>
      <c r="B39" s="50">
        <v>12</v>
      </c>
      <c r="C39" s="51">
        <f t="shared" si="0"/>
        <v>25.991666666666671</v>
      </c>
      <c r="D39" s="51">
        <f t="shared" si="1"/>
        <v>311.90000000000003</v>
      </c>
      <c r="E39" s="49">
        <v>329.97</v>
      </c>
      <c r="F39" s="49">
        <f t="shared" si="2"/>
        <v>12.695222827829431</v>
      </c>
      <c r="G39" s="52">
        <f t="shared" si="3"/>
        <v>7.876978715236739E-2</v>
      </c>
      <c r="I39" s="49">
        <v>25</v>
      </c>
      <c r="J39" s="49">
        <v>24.9</v>
      </c>
      <c r="K39" s="49">
        <v>26.5</v>
      </c>
      <c r="L39" s="49">
        <v>28</v>
      </c>
      <c r="M39" s="49">
        <v>28</v>
      </c>
      <c r="N39" s="49">
        <v>28</v>
      </c>
      <c r="O39" s="49">
        <v>26.3</v>
      </c>
      <c r="P39" s="49">
        <v>26</v>
      </c>
      <c r="Q39" s="49">
        <v>26</v>
      </c>
      <c r="R39" s="49">
        <v>24.4</v>
      </c>
      <c r="S39" s="49">
        <v>26.3</v>
      </c>
      <c r="T39" s="49">
        <v>22.5</v>
      </c>
    </row>
    <row r="40" spans="1:20" s="53" customFormat="1" ht="15.75" customHeight="1" x14ac:dyDescent="0.25">
      <c r="A40" s="50">
        <v>1952</v>
      </c>
      <c r="B40" s="50">
        <v>12</v>
      </c>
      <c r="C40" s="51">
        <f t="shared" si="0"/>
        <v>24.733333333333334</v>
      </c>
      <c r="D40" s="51">
        <f t="shared" si="1"/>
        <v>296.8</v>
      </c>
      <c r="E40" s="49">
        <v>329.97</v>
      </c>
      <c r="F40" s="49">
        <f t="shared" si="2"/>
        <v>13.341105121293801</v>
      </c>
      <c r="G40" s="52">
        <f t="shared" si="3"/>
        <v>7.4956309159418533E-2</v>
      </c>
      <c r="I40" s="49">
        <v>20</v>
      </c>
      <c r="J40" s="49">
        <v>26.3</v>
      </c>
      <c r="K40" s="49">
        <v>22.6</v>
      </c>
      <c r="L40" s="49">
        <v>22.4</v>
      </c>
      <c r="M40" s="49">
        <v>21.2</v>
      </c>
      <c r="N40" s="49">
        <v>23.5</v>
      </c>
      <c r="O40" s="49">
        <v>26.6</v>
      </c>
      <c r="P40" s="49">
        <v>27.9</v>
      </c>
      <c r="Q40" s="49">
        <v>27.7</v>
      </c>
      <c r="R40" s="49">
        <v>26.9</v>
      </c>
      <c r="S40" s="49">
        <v>26.9</v>
      </c>
      <c r="T40" s="49">
        <v>24.8</v>
      </c>
    </row>
    <row r="41" spans="1:20" s="53" customFormat="1" ht="15.75" customHeight="1" x14ac:dyDescent="0.25">
      <c r="A41" s="50">
        <v>1953</v>
      </c>
      <c r="B41" s="50">
        <v>12</v>
      </c>
      <c r="C41" s="51">
        <f t="shared" si="0"/>
        <v>23.374999999999996</v>
      </c>
      <c r="D41" s="51">
        <f t="shared" si="1"/>
        <v>280.49999999999994</v>
      </c>
      <c r="E41" s="49">
        <v>329.97</v>
      </c>
      <c r="F41" s="49">
        <f t="shared" si="2"/>
        <v>14.116363636363639</v>
      </c>
      <c r="G41" s="52">
        <f t="shared" si="3"/>
        <v>7.0839773312725382E-2</v>
      </c>
      <c r="I41" s="49">
        <v>24.9</v>
      </c>
      <c r="J41" s="49">
        <v>24</v>
      </c>
      <c r="K41" s="49">
        <v>24.6</v>
      </c>
      <c r="L41" s="49">
        <v>21.8</v>
      </c>
      <c r="M41" s="49">
        <v>23.4</v>
      </c>
      <c r="N41" s="49">
        <v>24.6</v>
      </c>
      <c r="O41" s="49">
        <v>23.3</v>
      </c>
      <c r="P41" s="49">
        <v>24.8</v>
      </c>
      <c r="Q41" s="49">
        <v>24.7</v>
      </c>
      <c r="R41" s="49">
        <v>22.6</v>
      </c>
      <c r="S41" s="49">
        <v>20.9</v>
      </c>
      <c r="T41" s="49">
        <v>20.9</v>
      </c>
    </row>
    <row r="42" spans="1:20" s="53" customFormat="1" ht="15.75" customHeight="1" x14ac:dyDescent="0.25">
      <c r="A42" s="50">
        <v>1954</v>
      </c>
      <c r="B42" s="50">
        <v>12</v>
      </c>
      <c r="C42" s="51">
        <f t="shared" si="0"/>
        <v>24.533333333333331</v>
      </c>
      <c r="D42" s="51">
        <f t="shared" si="1"/>
        <v>294.39999999999998</v>
      </c>
      <c r="E42" s="49">
        <v>329.97</v>
      </c>
      <c r="F42" s="49">
        <f t="shared" si="2"/>
        <v>13.449864130434785</v>
      </c>
      <c r="G42" s="52">
        <f t="shared" si="3"/>
        <v>7.4350193451929961E-2</v>
      </c>
      <c r="I42" s="49">
        <v>22</v>
      </c>
      <c r="J42" s="49">
        <v>21.5</v>
      </c>
      <c r="K42" s="49">
        <v>21.3</v>
      </c>
      <c r="L42" s="49">
        <v>24.3</v>
      </c>
      <c r="M42" s="49">
        <v>25</v>
      </c>
      <c r="N42" s="49">
        <v>26.6</v>
      </c>
      <c r="O42" s="49">
        <v>27</v>
      </c>
      <c r="P42" s="49">
        <v>27</v>
      </c>
      <c r="Q42" s="49">
        <v>27</v>
      </c>
      <c r="R42" s="49">
        <v>23.6</v>
      </c>
      <c r="S42" s="49">
        <v>23</v>
      </c>
      <c r="T42" s="49">
        <v>26.1</v>
      </c>
    </row>
    <row r="43" spans="1:20" s="53" customFormat="1" ht="15.75" customHeight="1" x14ac:dyDescent="0.25">
      <c r="A43" s="50">
        <v>1955</v>
      </c>
      <c r="B43" s="50">
        <v>12</v>
      </c>
      <c r="C43" s="51">
        <f t="shared" si="0"/>
        <v>22.824999999999999</v>
      </c>
      <c r="D43" s="51">
        <f t="shared" si="1"/>
        <v>273.89999999999998</v>
      </c>
      <c r="E43" s="49">
        <v>329.97</v>
      </c>
      <c r="F43" s="49">
        <f t="shared" si="2"/>
        <v>14.456516976998905</v>
      </c>
      <c r="G43" s="52">
        <f t="shared" si="3"/>
        <v>6.9172955117131854E-2</v>
      </c>
      <c r="I43" s="49">
        <v>23.7</v>
      </c>
      <c r="J43" s="49">
        <v>21</v>
      </c>
      <c r="K43" s="49">
        <v>20.5</v>
      </c>
      <c r="L43" s="49">
        <v>21</v>
      </c>
      <c r="M43" s="49">
        <v>19.8</v>
      </c>
      <c r="N43" s="49">
        <v>20.100000000000001</v>
      </c>
      <c r="O43" s="49">
        <v>21.2</v>
      </c>
      <c r="P43" s="49">
        <v>26</v>
      </c>
      <c r="Q43" s="49">
        <v>26</v>
      </c>
      <c r="R43" s="49">
        <v>25.9</v>
      </c>
      <c r="S43" s="49">
        <v>25</v>
      </c>
      <c r="T43" s="49">
        <v>23.7</v>
      </c>
    </row>
    <row r="44" spans="1:20" s="53" customFormat="1" ht="15.75" customHeight="1" x14ac:dyDescent="0.25">
      <c r="A44" s="50">
        <v>1956</v>
      </c>
      <c r="B44" s="50">
        <v>12</v>
      </c>
      <c r="C44" s="51">
        <f t="shared" si="0"/>
        <v>22.741666666666664</v>
      </c>
      <c r="D44" s="51">
        <f t="shared" si="1"/>
        <v>272.89999999999998</v>
      </c>
      <c r="E44" s="49">
        <v>329.97</v>
      </c>
      <c r="F44" s="49">
        <f t="shared" si="2"/>
        <v>14.509490655917922</v>
      </c>
      <c r="G44" s="52">
        <f t="shared" si="3"/>
        <v>6.8920406905678286E-2</v>
      </c>
      <c r="I44" s="49">
        <v>22</v>
      </c>
      <c r="J44" s="49">
        <v>22</v>
      </c>
      <c r="K44" s="49">
        <v>22.6</v>
      </c>
      <c r="L44" s="49">
        <v>22.5</v>
      </c>
      <c r="M44" s="49">
        <v>24</v>
      </c>
      <c r="N44" s="49">
        <v>24</v>
      </c>
      <c r="O44" s="49">
        <v>24.2</v>
      </c>
      <c r="P44" s="49">
        <v>23.3</v>
      </c>
      <c r="Q44" s="49">
        <v>22.6</v>
      </c>
      <c r="R44" s="49">
        <v>21</v>
      </c>
      <c r="S44" s="49">
        <v>20.7</v>
      </c>
      <c r="T44" s="49">
        <v>24</v>
      </c>
    </row>
    <row r="45" spans="1:20" s="53" customFormat="1" ht="15.75" customHeight="1" x14ac:dyDescent="0.25">
      <c r="A45" s="50">
        <v>1957</v>
      </c>
      <c r="B45" s="50">
        <v>12</v>
      </c>
      <c r="C45" s="51">
        <f t="shared" si="0"/>
        <v>22.125</v>
      </c>
      <c r="D45" s="51">
        <f t="shared" si="1"/>
        <v>265.5</v>
      </c>
      <c r="E45" s="49">
        <v>329.97</v>
      </c>
      <c r="F45" s="49">
        <f t="shared" si="2"/>
        <v>14.913898305084746</v>
      </c>
      <c r="G45" s="52">
        <f t="shared" si="3"/>
        <v>6.7051550140921901E-2</v>
      </c>
      <c r="I45" s="49">
        <v>23.6</v>
      </c>
      <c r="J45" s="49">
        <v>24</v>
      </c>
      <c r="K45" s="49">
        <v>20.6</v>
      </c>
      <c r="L45" s="49">
        <v>19</v>
      </c>
      <c r="M45" s="49">
        <v>19</v>
      </c>
      <c r="N45" s="49">
        <v>18.399999999999999</v>
      </c>
      <c r="O45" s="49">
        <v>18</v>
      </c>
      <c r="P45" s="49">
        <v>18.3</v>
      </c>
      <c r="Q45" s="49">
        <v>25</v>
      </c>
      <c r="R45" s="49">
        <v>27.2</v>
      </c>
      <c r="S45" s="49">
        <v>26.4</v>
      </c>
      <c r="T45" s="49">
        <v>26</v>
      </c>
    </row>
    <row r="46" spans="1:20" s="53" customFormat="1" ht="15.75" customHeight="1" x14ac:dyDescent="0.25">
      <c r="A46" s="50">
        <v>1958</v>
      </c>
      <c r="B46" s="50">
        <v>12</v>
      </c>
      <c r="C46" s="51">
        <f t="shared" si="0"/>
        <v>24.599999999999998</v>
      </c>
      <c r="D46" s="51">
        <f t="shared" si="1"/>
        <v>295.2</v>
      </c>
      <c r="E46" s="49">
        <v>329.97</v>
      </c>
      <c r="F46" s="49">
        <f t="shared" si="2"/>
        <v>13.413414634146344</v>
      </c>
      <c r="G46" s="52">
        <f t="shared" si="3"/>
        <v>7.4552232021092818E-2</v>
      </c>
      <c r="I46" s="49">
        <v>26.1</v>
      </c>
      <c r="J46" s="49">
        <v>26</v>
      </c>
      <c r="K46" s="49">
        <v>15.4</v>
      </c>
      <c r="L46" s="49">
        <v>3.9</v>
      </c>
      <c r="M46" s="49">
        <v>19.2</v>
      </c>
      <c r="N46" s="49">
        <v>37.299999999999997</v>
      </c>
      <c r="O46" s="49">
        <v>34.4</v>
      </c>
      <c r="P46" s="49">
        <v>26.7</v>
      </c>
      <c r="Q46" s="49">
        <v>25.9</v>
      </c>
      <c r="R46" s="49">
        <v>22.7</v>
      </c>
      <c r="S46" s="49">
        <v>21.6</v>
      </c>
      <c r="T46" s="49">
        <v>36</v>
      </c>
    </row>
    <row r="47" spans="1:20" s="53" customFormat="1" ht="15.75" customHeight="1" x14ac:dyDescent="0.25">
      <c r="A47" s="50">
        <v>1959</v>
      </c>
      <c r="B47" s="50">
        <v>12</v>
      </c>
      <c r="C47" s="51">
        <f t="shared" si="0"/>
        <v>30.516666666666669</v>
      </c>
      <c r="D47" s="51">
        <f t="shared" si="1"/>
        <v>366.20000000000005</v>
      </c>
      <c r="E47" s="49">
        <v>329.97</v>
      </c>
      <c r="F47" s="49">
        <f t="shared" si="2"/>
        <v>10.812779901693064</v>
      </c>
      <c r="G47" s="52">
        <f t="shared" si="3"/>
        <v>9.248315503429605E-2</v>
      </c>
      <c r="I47" s="49">
        <v>39.799999999999997</v>
      </c>
      <c r="J47" s="49">
        <v>39</v>
      </c>
      <c r="K47" s="49">
        <v>38.299999999999997</v>
      </c>
      <c r="L47" s="49">
        <v>38.700000000000003</v>
      </c>
      <c r="M47" s="49">
        <v>39.5</v>
      </c>
      <c r="N47" s="49">
        <v>40.700000000000003</v>
      </c>
      <c r="O47" s="49">
        <v>11.9</v>
      </c>
      <c r="P47" s="49">
        <v>0</v>
      </c>
      <c r="Q47" s="49">
        <v>3.8</v>
      </c>
      <c r="R47" s="49">
        <v>37.200000000000003</v>
      </c>
      <c r="S47" s="49">
        <v>37.5</v>
      </c>
      <c r="T47" s="49">
        <v>39.799999999999997</v>
      </c>
    </row>
    <row r="48" spans="1:20" s="53" customFormat="1" ht="15.75" customHeight="1" x14ac:dyDescent="0.25">
      <c r="A48" s="50">
        <v>1960</v>
      </c>
      <c r="B48" s="50">
        <v>12</v>
      </c>
      <c r="C48" s="51">
        <f t="shared" si="0"/>
        <v>34.891666666666666</v>
      </c>
      <c r="D48" s="51">
        <f t="shared" si="1"/>
        <v>418.7</v>
      </c>
      <c r="E48" s="49">
        <v>329.97</v>
      </c>
      <c r="F48" s="49">
        <f t="shared" si="2"/>
        <v>9.4569859087652262</v>
      </c>
      <c r="G48" s="52">
        <f t="shared" si="3"/>
        <v>0.10574193613560827</v>
      </c>
      <c r="I48" s="49">
        <v>38.1</v>
      </c>
      <c r="J48" s="49">
        <v>34.4</v>
      </c>
      <c r="K48" s="49">
        <v>36.1</v>
      </c>
      <c r="L48" s="49">
        <v>39.6</v>
      </c>
      <c r="M48" s="49">
        <v>40.1</v>
      </c>
      <c r="N48" s="49">
        <v>38.9</v>
      </c>
      <c r="O48" s="49">
        <v>39</v>
      </c>
      <c r="P48" s="49">
        <v>39</v>
      </c>
      <c r="Q48" s="49">
        <v>38.6</v>
      </c>
      <c r="R48" s="49">
        <v>38</v>
      </c>
      <c r="S48" s="49">
        <v>20.9</v>
      </c>
      <c r="T48" s="49">
        <v>16</v>
      </c>
    </row>
    <row r="49" spans="1:20" s="53" customFormat="1" ht="15.75" customHeight="1" x14ac:dyDescent="0.25">
      <c r="A49" s="50">
        <v>1961</v>
      </c>
      <c r="B49" s="50">
        <v>12</v>
      </c>
      <c r="C49" s="51">
        <f t="shared" si="0"/>
        <v>13.725000000000001</v>
      </c>
      <c r="D49" s="51">
        <f t="shared" si="1"/>
        <v>164.70000000000002</v>
      </c>
      <c r="E49" s="49">
        <v>329.97</v>
      </c>
      <c r="F49" s="49">
        <f t="shared" si="2"/>
        <v>24.041530054644809</v>
      </c>
      <c r="G49" s="52">
        <f t="shared" si="3"/>
        <v>4.1594690426402403E-2</v>
      </c>
      <c r="I49" s="49">
        <v>16</v>
      </c>
      <c r="J49" s="49">
        <v>15</v>
      </c>
      <c r="K49" s="49">
        <v>15.1</v>
      </c>
      <c r="L49" s="49">
        <v>17</v>
      </c>
      <c r="M49" s="49">
        <v>17</v>
      </c>
      <c r="N49" s="49">
        <v>17</v>
      </c>
      <c r="O49" s="49">
        <v>3.8</v>
      </c>
      <c r="P49" s="49">
        <v>0</v>
      </c>
      <c r="Q49" s="49">
        <v>0</v>
      </c>
      <c r="R49" s="49">
        <v>15.2</v>
      </c>
      <c r="S49" s="49">
        <v>24.3</v>
      </c>
      <c r="T49" s="49">
        <v>24.3</v>
      </c>
    </row>
    <row r="50" spans="1:20" s="53" customFormat="1" ht="15.75" customHeight="1" x14ac:dyDescent="0.25">
      <c r="A50" s="50">
        <v>1962</v>
      </c>
      <c r="B50" s="50">
        <v>12</v>
      </c>
      <c r="C50" s="51">
        <f t="shared" si="0"/>
        <v>27.475000000000005</v>
      </c>
      <c r="D50" s="51">
        <f t="shared" si="1"/>
        <v>329.70000000000005</v>
      </c>
      <c r="E50" s="49">
        <v>329.97</v>
      </c>
      <c r="F50" s="49">
        <f t="shared" si="2"/>
        <v>12.009827115559599</v>
      </c>
      <c r="G50" s="52">
        <f t="shared" si="3"/>
        <v>8.3265145316240879E-2</v>
      </c>
      <c r="I50" s="49">
        <v>29.2</v>
      </c>
      <c r="J50" s="49">
        <v>31</v>
      </c>
      <c r="K50" s="49">
        <v>22.6</v>
      </c>
      <c r="L50" s="49">
        <v>28.3</v>
      </c>
      <c r="M50" s="49">
        <v>29</v>
      </c>
      <c r="N50" s="49">
        <v>29</v>
      </c>
      <c r="O50" s="49">
        <v>28.7</v>
      </c>
      <c r="P50" s="49">
        <v>28</v>
      </c>
      <c r="Q50" s="49">
        <v>27.8</v>
      </c>
      <c r="R50" s="49">
        <v>27</v>
      </c>
      <c r="S50" s="49">
        <v>25.5</v>
      </c>
      <c r="T50" s="49">
        <v>23.6</v>
      </c>
    </row>
    <row r="51" spans="1:20" s="53" customFormat="1" ht="15.75" customHeight="1" x14ac:dyDescent="0.25">
      <c r="A51" s="50">
        <v>1963</v>
      </c>
      <c r="B51" s="50">
        <v>12</v>
      </c>
      <c r="C51" s="51">
        <f t="shared" si="0"/>
        <v>16.2</v>
      </c>
      <c r="D51" s="51">
        <f t="shared" si="1"/>
        <v>194.4</v>
      </c>
      <c r="E51" s="49">
        <v>329.97</v>
      </c>
      <c r="F51" s="49">
        <f t="shared" si="2"/>
        <v>20.36851851851852</v>
      </c>
      <c r="G51" s="52">
        <f t="shared" si="3"/>
        <v>4.9095372306573321E-2</v>
      </c>
      <c r="I51" s="49">
        <v>25</v>
      </c>
      <c r="J51" s="49">
        <v>24.4</v>
      </c>
      <c r="K51" s="49">
        <v>26</v>
      </c>
      <c r="L51" s="49">
        <v>27</v>
      </c>
      <c r="M51" s="49">
        <v>12.1</v>
      </c>
      <c r="N51" s="49">
        <v>0</v>
      </c>
      <c r="O51" s="49">
        <v>0</v>
      </c>
      <c r="P51" s="49">
        <v>0</v>
      </c>
      <c r="Q51" s="49">
        <v>15</v>
      </c>
      <c r="R51" s="49">
        <v>25</v>
      </c>
      <c r="S51" s="49">
        <v>21.9</v>
      </c>
      <c r="T51" s="49">
        <v>18</v>
      </c>
    </row>
    <row r="52" spans="1:20" s="53" customFormat="1" ht="15.75" customHeight="1" x14ac:dyDescent="0.25">
      <c r="A52" s="50">
        <v>1964</v>
      </c>
      <c r="B52" s="50">
        <v>12</v>
      </c>
      <c r="C52" s="51">
        <f t="shared" si="0"/>
        <v>20.608333333333331</v>
      </c>
      <c r="D52" s="51">
        <f t="shared" si="1"/>
        <v>247.29999999999998</v>
      </c>
      <c r="E52" s="49">
        <v>329.97</v>
      </c>
      <c r="F52" s="49">
        <f t="shared" si="2"/>
        <v>16.011484027496969</v>
      </c>
      <c r="G52" s="52">
        <f t="shared" si="3"/>
        <v>6.2455172692466976E-2</v>
      </c>
      <c r="I52" s="49">
        <v>18</v>
      </c>
      <c r="J52" s="49">
        <v>19.600000000000001</v>
      </c>
      <c r="K52" s="49">
        <v>20.8</v>
      </c>
      <c r="L52" s="49">
        <v>21</v>
      </c>
      <c r="M52" s="49">
        <v>21</v>
      </c>
      <c r="N52" s="49">
        <v>21</v>
      </c>
      <c r="O52" s="49">
        <v>21</v>
      </c>
      <c r="P52" s="49">
        <v>21</v>
      </c>
      <c r="Q52" s="49">
        <v>21.5</v>
      </c>
      <c r="R52" s="49">
        <v>20.2</v>
      </c>
      <c r="S52" s="49">
        <v>22</v>
      </c>
      <c r="T52" s="49">
        <v>20.2</v>
      </c>
    </row>
    <row r="53" spans="1:20" s="53" customFormat="1" ht="15.75" customHeight="1" x14ac:dyDescent="0.25">
      <c r="A53" s="50">
        <v>1965</v>
      </c>
      <c r="B53" s="50">
        <v>12</v>
      </c>
      <c r="C53" s="51">
        <f t="shared" si="0"/>
        <v>17.974999999999998</v>
      </c>
      <c r="D53" s="51">
        <f t="shared" si="1"/>
        <v>215.7</v>
      </c>
      <c r="E53" s="49">
        <v>329.97</v>
      </c>
      <c r="F53" s="49">
        <f t="shared" si="2"/>
        <v>18.357162726008347</v>
      </c>
      <c r="G53" s="52">
        <f t="shared" si="3"/>
        <v>5.4474649210534277E-2</v>
      </c>
      <c r="I53" s="49">
        <v>23</v>
      </c>
      <c r="J53" s="49">
        <v>23</v>
      </c>
      <c r="K53" s="49">
        <v>23.7</v>
      </c>
      <c r="L53" s="49">
        <v>25</v>
      </c>
      <c r="M53" s="49">
        <v>25</v>
      </c>
      <c r="N53" s="49">
        <v>25</v>
      </c>
      <c r="O53" s="49">
        <v>0</v>
      </c>
      <c r="P53" s="49">
        <v>0</v>
      </c>
      <c r="Q53" s="49">
        <v>2.5</v>
      </c>
      <c r="R53" s="49">
        <v>25</v>
      </c>
      <c r="S53" s="49">
        <v>23.5</v>
      </c>
      <c r="T53" s="49">
        <v>20</v>
      </c>
    </row>
    <row r="54" spans="1:20" s="53" customFormat="1" ht="15.75" customHeight="1" x14ac:dyDescent="0.25">
      <c r="A54" s="50">
        <v>1966</v>
      </c>
      <c r="B54" s="50">
        <v>12</v>
      </c>
      <c r="C54" s="51">
        <f t="shared" si="0"/>
        <v>20.883333333333336</v>
      </c>
      <c r="D54" s="51">
        <f t="shared" si="1"/>
        <v>250.60000000000002</v>
      </c>
      <c r="E54" s="49">
        <v>329.97</v>
      </c>
      <c r="F54" s="49">
        <f t="shared" si="2"/>
        <v>15.800638467677572</v>
      </c>
      <c r="G54" s="52">
        <f t="shared" si="3"/>
        <v>6.3288581790263768E-2</v>
      </c>
      <c r="I54" s="49">
        <v>20</v>
      </c>
      <c r="J54" s="49">
        <v>19.3</v>
      </c>
      <c r="K54" s="49">
        <v>21.2</v>
      </c>
      <c r="L54" s="49">
        <v>22</v>
      </c>
      <c r="M54" s="49">
        <v>22</v>
      </c>
      <c r="N54" s="49">
        <v>22</v>
      </c>
      <c r="O54" s="49">
        <v>22</v>
      </c>
      <c r="P54" s="49">
        <v>21.8</v>
      </c>
      <c r="Q54" s="49">
        <v>21</v>
      </c>
      <c r="R54" s="49">
        <v>19.5</v>
      </c>
      <c r="S54" s="49">
        <v>20.3</v>
      </c>
      <c r="T54" s="49">
        <v>19.5</v>
      </c>
    </row>
    <row r="55" spans="1:20" s="53" customFormat="1" ht="15.75" customHeight="1" x14ac:dyDescent="0.25">
      <c r="A55" s="50">
        <v>1967</v>
      </c>
      <c r="B55" s="50">
        <v>12</v>
      </c>
      <c r="C55" s="51">
        <f t="shared" si="0"/>
        <v>16.108333333333334</v>
      </c>
      <c r="D55" s="51">
        <f t="shared" si="1"/>
        <v>193.3</v>
      </c>
      <c r="E55" s="49">
        <v>329.97</v>
      </c>
      <c r="F55" s="49">
        <f t="shared" si="2"/>
        <v>20.484428349715468</v>
      </c>
      <c r="G55" s="52">
        <f t="shared" si="3"/>
        <v>4.8817569273974404E-2</v>
      </c>
      <c r="I55" s="49">
        <v>19</v>
      </c>
      <c r="J55" s="49">
        <v>19</v>
      </c>
      <c r="K55" s="49">
        <v>22.2</v>
      </c>
      <c r="L55" s="49">
        <v>23</v>
      </c>
      <c r="M55" s="49">
        <v>22</v>
      </c>
      <c r="N55" s="49">
        <v>21.1</v>
      </c>
      <c r="O55" s="49">
        <v>0</v>
      </c>
      <c r="P55" s="49">
        <v>0</v>
      </c>
      <c r="Q55" s="49">
        <v>2</v>
      </c>
      <c r="R55" s="49">
        <v>20</v>
      </c>
      <c r="S55" s="49">
        <v>19.399999999999999</v>
      </c>
      <c r="T55" s="49">
        <v>25.6</v>
      </c>
    </row>
    <row r="56" spans="1:20" s="53" customFormat="1" ht="15.75" customHeight="1" x14ac:dyDescent="0.25">
      <c r="A56" s="50">
        <v>1968</v>
      </c>
      <c r="B56" s="50">
        <v>12</v>
      </c>
      <c r="C56" s="51">
        <f t="shared" si="0"/>
        <v>27.766666666666666</v>
      </c>
      <c r="D56" s="51">
        <f t="shared" si="1"/>
        <v>333.2</v>
      </c>
      <c r="E56" s="49">
        <v>329.97</v>
      </c>
      <c r="F56" s="49">
        <f t="shared" si="2"/>
        <v>11.883673469387757</v>
      </c>
      <c r="G56" s="52">
        <f t="shared" si="3"/>
        <v>8.414906405632834E-2</v>
      </c>
      <c r="I56" s="49">
        <v>28</v>
      </c>
      <c r="J56" s="49">
        <v>28</v>
      </c>
      <c r="K56" s="49">
        <v>28.6</v>
      </c>
      <c r="L56" s="49">
        <v>29</v>
      </c>
      <c r="M56" s="49">
        <v>29</v>
      </c>
      <c r="N56" s="49">
        <v>29</v>
      </c>
      <c r="O56" s="49">
        <v>29</v>
      </c>
      <c r="P56" s="49">
        <v>27.6</v>
      </c>
      <c r="Q56" s="49">
        <v>27</v>
      </c>
      <c r="R56" s="49">
        <v>27</v>
      </c>
      <c r="S56" s="49">
        <v>26.4</v>
      </c>
      <c r="T56" s="49">
        <v>24.6</v>
      </c>
    </row>
    <row r="57" spans="1:20" s="53" customFormat="1" ht="15.75" customHeight="1" x14ac:dyDescent="0.25">
      <c r="A57" s="50">
        <v>1969</v>
      </c>
      <c r="B57" s="50">
        <v>12</v>
      </c>
      <c r="C57" s="51">
        <f t="shared" si="0"/>
        <v>16.424999999999997</v>
      </c>
      <c r="D57" s="51">
        <f t="shared" si="1"/>
        <v>197.09999999999997</v>
      </c>
      <c r="E57" s="49">
        <v>329.97</v>
      </c>
      <c r="F57" s="49">
        <f t="shared" si="2"/>
        <v>20.089497716894982</v>
      </c>
      <c r="G57" s="52">
        <f t="shared" si="3"/>
        <v>4.9777252477497945E-2</v>
      </c>
      <c r="I57" s="49">
        <v>22</v>
      </c>
      <c r="J57" s="49">
        <v>22</v>
      </c>
      <c r="K57" s="49">
        <v>22.7</v>
      </c>
      <c r="L57" s="49">
        <v>23</v>
      </c>
      <c r="M57" s="49">
        <v>23</v>
      </c>
      <c r="N57" s="49">
        <v>23</v>
      </c>
      <c r="O57" s="49">
        <v>0.7</v>
      </c>
      <c r="P57" s="49">
        <v>0</v>
      </c>
      <c r="Q57" s="49">
        <v>0</v>
      </c>
      <c r="R57" s="49">
        <v>22</v>
      </c>
      <c r="S57" s="49">
        <v>19.100000000000001</v>
      </c>
      <c r="T57" s="49">
        <v>19.600000000000001</v>
      </c>
    </row>
    <row r="58" spans="1:20" s="53" customFormat="1" ht="15.75" customHeight="1" x14ac:dyDescent="0.25">
      <c r="A58" s="50">
        <v>1970</v>
      </c>
      <c r="B58" s="50">
        <v>12</v>
      </c>
      <c r="C58" s="51">
        <f t="shared" si="0"/>
        <v>20.366666666666667</v>
      </c>
      <c r="D58" s="51">
        <f t="shared" si="1"/>
        <v>244.4</v>
      </c>
      <c r="E58" s="49">
        <v>329.97</v>
      </c>
      <c r="F58" s="49">
        <f t="shared" si="2"/>
        <v>16.201472995090018</v>
      </c>
      <c r="G58" s="52">
        <f t="shared" si="3"/>
        <v>6.1722782879251648E-2</v>
      </c>
      <c r="I58" s="49">
        <v>20</v>
      </c>
      <c r="J58" s="49">
        <v>20</v>
      </c>
      <c r="K58" s="49">
        <v>20</v>
      </c>
      <c r="L58" s="49">
        <v>21</v>
      </c>
      <c r="M58" s="49">
        <v>20.5</v>
      </c>
      <c r="N58" s="49">
        <v>21</v>
      </c>
      <c r="O58" s="49">
        <v>21</v>
      </c>
      <c r="P58" s="49">
        <v>21</v>
      </c>
      <c r="Q58" s="49">
        <v>21</v>
      </c>
      <c r="R58" s="49">
        <v>19.3</v>
      </c>
      <c r="S58" s="49">
        <v>19.600000000000001</v>
      </c>
      <c r="T58" s="49">
        <v>20</v>
      </c>
    </row>
    <row r="59" spans="1:20" s="53" customFormat="1" ht="15.75" customHeight="1" x14ac:dyDescent="0.25">
      <c r="A59" s="50">
        <v>1971</v>
      </c>
      <c r="B59" s="50">
        <v>12</v>
      </c>
      <c r="C59" s="51">
        <f t="shared" si="0"/>
        <v>11.758333333333333</v>
      </c>
      <c r="D59" s="51">
        <f t="shared" si="1"/>
        <v>141.1</v>
      </c>
      <c r="E59" s="49">
        <v>329.97</v>
      </c>
      <c r="F59" s="49">
        <f t="shared" si="2"/>
        <v>28.062650602409644</v>
      </c>
      <c r="G59" s="52">
        <f t="shared" si="3"/>
        <v>3.563455263609823E-2</v>
      </c>
      <c r="I59" s="49">
        <v>19.399999999999999</v>
      </c>
      <c r="J59" s="49">
        <v>20</v>
      </c>
      <c r="K59" s="49">
        <v>20.7</v>
      </c>
      <c r="L59" s="49">
        <v>21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20</v>
      </c>
      <c r="S59" s="49">
        <v>20</v>
      </c>
      <c r="T59" s="49">
        <v>20</v>
      </c>
    </row>
    <row r="60" spans="1:20" s="53" customFormat="1" ht="15.75" customHeight="1" x14ac:dyDescent="0.25">
      <c r="A60" s="50">
        <v>1972</v>
      </c>
      <c r="B60" s="50">
        <v>12</v>
      </c>
      <c r="C60" s="51">
        <f t="shared" si="0"/>
        <v>20.349999999999998</v>
      </c>
      <c r="D60" s="51">
        <f t="shared" si="1"/>
        <v>244.2</v>
      </c>
      <c r="E60" s="49">
        <v>329.97</v>
      </c>
      <c r="F60" s="49">
        <f t="shared" si="2"/>
        <v>16.214742014742018</v>
      </c>
      <c r="G60" s="52">
        <f t="shared" si="3"/>
        <v>6.1672273236960923E-2</v>
      </c>
      <c r="I60" s="49">
        <v>20</v>
      </c>
      <c r="J60" s="49">
        <v>20</v>
      </c>
      <c r="K60" s="49">
        <v>20.6</v>
      </c>
      <c r="L60" s="49">
        <v>21</v>
      </c>
      <c r="M60" s="49">
        <v>21</v>
      </c>
      <c r="N60" s="49">
        <v>21</v>
      </c>
      <c r="O60" s="49">
        <v>21</v>
      </c>
      <c r="P60" s="49">
        <v>20.5</v>
      </c>
      <c r="Q60" s="49">
        <v>20</v>
      </c>
      <c r="R60" s="49">
        <v>19.100000000000001</v>
      </c>
      <c r="S60" s="49">
        <v>20</v>
      </c>
      <c r="T60" s="49">
        <v>20</v>
      </c>
    </row>
    <row r="61" spans="1:20" s="53" customFormat="1" ht="15.75" customHeight="1" x14ac:dyDescent="0.25">
      <c r="A61" s="50">
        <v>1973</v>
      </c>
      <c r="B61" s="50">
        <v>12</v>
      </c>
      <c r="C61" s="51">
        <f t="shared" si="0"/>
        <v>21</v>
      </c>
      <c r="D61" s="51">
        <f t="shared" si="1"/>
        <v>252</v>
      </c>
      <c r="E61" s="49">
        <v>329.97</v>
      </c>
      <c r="F61" s="49">
        <f t="shared" si="2"/>
        <v>15.712857142857144</v>
      </c>
      <c r="G61" s="52">
        <f t="shared" si="3"/>
        <v>6.3642149286298744E-2</v>
      </c>
      <c r="I61" s="49">
        <v>20</v>
      </c>
      <c r="J61" s="49">
        <v>20</v>
      </c>
      <c r="K61" s="49">
        <v>21.5</v>
      </c>
      <c r="L61" s="49">
        <v>21.5</v>
      </c>
      <c r="M61" s="49">
        <v>21.5</v>
      </c>
      <c r="N61" s="49">
        <v>21.5</v>
      </c>
      <c r="O61" s="49">
        <v>21.5</v>
      </c>
      <c r="P61" s="49">
        <v>21.5</v>
      </c>
      <c r="Q61" s="49">
        <v>21.5</v>
      </c>
      <c r="R61" s="49">
        <v>21.5</v>
      </c>
      <c r="S61" s="49">
        <v>20</v>
      </c>
      <c r="T61" s="49">
        <v>20</v>
      </c>
    </row>
    <row r="62" spans="1:20" s="53" customFormat="1" ht="15.75" customHeight="1" x14ac:dyDescent="0.25">
      <c r="A62" s="50">
        <v>1974</v>
      </c>
      <c r="B62" s="50">
        <v>12</v>
      </c>
      <c r="C62" s="51">
        <f t="shared" si="0"/>
        <v>21</v>
      </c>
      <c r="D62" s="51">
        <f t="shared" si="1"/>
        <v>252</v>
      </c>
      <c r="E62" s="49">
        <v>329.97</v>
      </c>
      <c r="F62" s="49">
        <f t="shared" si="2"/>
        <v>15.712857142857144</v>
      </c>
      <c r="G62" s="52">
        <f t="shared" si="3"/>
        <v>6.3642149286298744E-2</v>
      </c>
      <c r="I62" s="49">
        <v>20</v>
      </c>
      <c r="J62" s="49">
        <v>20</v>
      </c>
      <c r="K62" s="49">
        <v>21.5</v>
      </c>
      <c r="L62" s="49">
        <v>21.5</v>
      </c>
      <c r="M62" s="49">
        <v>21.5</v>
      </c>
      <c r="N62" s="49">
        <v>21.5</v>
      </c>
      <c r="O62" s="49">
        <v>21.5</v>
      </c>
      <c r="P62" s="49">
        <v>21.5</v>
      </c>
      <c r="Q62" s="49">
        <v>21.5</v>
      </c>
      <c r="R62" s="49">
        <v>21.5</v>
      </c>
      <c r="S62" s="49">
        <v>20</v>
      </c>
      <c r="T62" s="49">
        <v>20</v>
      </c>
    </row>
    <row r="63" spans="1:20" s="53" customFormat="1" ht="15.75" customHeight="1" x14ac:dyDescent="0.25">
      <c r="A63" s="50">
        <v>1975</v>
      </c>
      <c r="B63" s="50">
        <v>12</v>
      </c>
      <c r="C63" s="51">
        <f t="shared" si="0"/>
        <v>21</v>
      </c>
      <c r="D63" s="51">
        <f t="shared" si="1"/>
        <v>252</v>
      </c>
      <c r="E63" s="49">
        <v>329.97</v>
      </c>
      <c r="F63" s="49">
        <f t="shared" si="2"/>
        <v>15.712857142857144</v>
      </c>
      <c r="G63" s="52">
        <f t="shared" si="3"/>
        <v>6.3642149286298744E-2</v>
      </c>
      <c r="I63" s="49">
        <v>20</v>
      </c>
      <c r="J63" s="49">
        <v>20</v>
      </c>
      <c r="K63" s="49">
        <v>21.5</v>
      </c>
      <c r="L63" s="49">
        <v>21.5</v>
      </c>
      <c r="M63" s="49">
        <v>21.5</v>
      </c>
      <c r="N63" s="49">
        <v>21.5</v>
      </c>
      <c r="O63" s="49">
        <v>21.5</v>
      </c>
      <c r="P63" s="49">
        <v>21.5</v>
      </c>
      <c r="Q63" s="49">
        <v>21.5</v>
      </c>
      <c r="R63" s="49">
        <v>21.5</v>
      </c>
      <c r="S63" s="49">
        <v>20</v>
      </c>
      <c r="T63" s="49">
        <v>20</v>
      </c>
    </row>
    <row r="64" spans="1:20" s="53" customFormat="1" ht="15.75" customHeight="1" x14ac:dyDescent="0.25">
      <c r="A64" s="50">
        <v>1976</v>
      </c>
      <c r="B64" s="50">
        <v>12</v>
      </c>
      <c r="C64" s="51">
        <f t="shared" si="0"/>
        <v>21</v>
      </c>
      <c r="D64" s="51">
        <f t="shared" si="1"/>
        <v>252</v>
      </c>
      <c r="E64" s="49">
        <v>329.97</v>
      </c>
      <c r="F64" s="49">
        <f t="shared" si="2"/>
        <v>15.712857142857144</v>
      </c>
      <c r="G64" s="52">
        <f t="shared" si="3"/>
        <v>6.3642149286298744E-2</v>
      </c>
      <c r="I64" s="49">
        <v>20</v>
      </c>
      <c r="J64" s="49">
        <v>20</v>
      </c>
      <c r="K64" s="49">
        <v>21.5</v>
      </c>
      <c r="L64" s="49">
        <v>21.5</v>
      </c>
      <c r="M64" s="49">
        <v>21.5</v>
      </c>
      <c r="N64" s="49">
        <v>21.5</v>
      </c>
      <c r="O64" s="49">
        <v>21.5</v>
      </c>
      <c r="P64" s="49">
        <v>21.5</v>
      </c>
      <c r="Q64" s="49">
        <v>21.5</v>
      </c>
      <c r="R64" s="49">
        <v>21.5</v>
      </c>
      <c r="S64" s="49">
        <v>20</v>
      </c>
      <c r="T64" s="49">
        <v>20</v>
      </c>
    </row>
    <row r="65" spans="1:20" s="53" customFormat="1" ht="15.75" customHeight="1" x14ac:dyDescent="0.25">
      <c r="A65" s="50">
        <v>1977</v>
      </c>
      <c r="B65" s="50">
        <v>12</v>
      </c>
      <c r="C65" s="51">
        <f t="shared" si="0"/>
        <v>21</v>
      </c>
      <c r="D65" s="51">
        <f t="shared" si="1"/>
        <v>252</v>
      </c>
      <c r="E65" s="49">
        <v>329.97</v>
      </c>
      <c r="F65" s="49">
        <f t="shared" si="2"/>
        <v>15.712857142857144</v>
      </c>
      <c r="G65" s="52">
        <f t="shared" si="3"/>
        <v>6.3642149286298744E-2</v>
      </c>
      <c r="I65" s="49">
        <v>20</v>
      </c>
      <c r="J65" s="49">
        <v>20</v>
      </c>
      <c r="K65" s="49">
        <v>21.5</v>
      </c>
      <c r="L65" s="49">
        <v>21.5</v>
      </c>
      <c r="M65" s="49">
        <v>21.5</v>
      </c>
      <c r="N65" s="49">
        <v>21.5</v>
      </c>
      <c r="O65" s="49">
        <v>21.5</v>
      </c>
      <c r="P65" s="49">
        <v>21.5</v>
      </c>
      <c r="Q65" s="49">
        <v>21.5</v>
      </c>
      <c r="R65" s="49">
        <v>21.5</v>
      </c>
      <c r="S65" s="49">
        <v>20</v>
      </c>
      <c r="T65" s="49">
        <v>20</v>
      </c>
    </row>
    <row r="66" spans="1:20" s="53" customFormat="1" ht="15.75" customHeight="1" x14ac:dyDescent="0.25">
      <c r="A66" s="50">
        <v>1978</v>
      </c>
      <c r="B66" s="50">
        <v>12</v>
      </c>
      <c r="C66" s="51">
        <f t="shared" si="0"/>
        <v>21</v>
      </c>
      <c r="D66" s="51">
        <f t="shared" si="1"/>
        <v>252</v>
      </c>
      <c r="E66" s="49">
        <v>329.97</v>
      </c>
      <c r="F66" s="49">
        <f t="shared" si="2"/>
        <v>15.712857142857144</v>
      </c>
      <c r="G66" s="52">
        <f t="shared" si="3"/>
        <v>6.3642149286298744E-2</v>
      </c>
      <c r="I66" s="49">
        <v>20</v>
      </c>
      <c r="J66" s="49">
        <v>20</v>
      </c>
      <c r="K66" s="49">
        <v>21.5</v>
      </c>
      <c r="L66" s="49">
        <v>21.5</v>
      </c>
      <c r="M66" s="49">
        <v>21.5</v>
      </c>
      <c r="N66" s="49">
        <v>21.5</v>
      </c>
      <c r="O66" s="49">
        <v>21.5</v>
      </c>
      <c r="P66" s="49">
        <v>21.5</v>
      </c>
      <c r="Q66" s="49">
        <v>21.5</v>
      </c>
      <c r="R66" s="49">
        <v>21.5</v>
      </c>
      <c r="S66" s="49">
        <v>20</v>
      </c>
      <c r="T66" s="49">
        <v>20</v>
      </c>
    </row>
    <row r="67" spans="1:20" s="53" customFormat="1" ht="15.75" customHeight="1" x14ac:dyDescent="0.25">
      <c r="A67" s="50">
        <v>1979</v>
      </c>
      <c r="B67" s="50">
        <v>12</v>
      </c>
      <c r="C67" s="51">
        <f t="shared" si="0"/>
        <v>21</v>
      </c>
      <c r="D67" s="51">
        <f t="shared" si="1"/>
        <v>252</v>
      </c>
      <c r="E67" s="49">
        <v>329.97</v>
      </c>
      <c r="F67" s="49">
        <f t="shared" si="2"/>
        <v>15.712857142857144</v>
      </c>
      <c r="G67" s="52">
        <f t="shared" si="3"/>
        <v>6.3642149286298744E-2</v>
      </c>
      <c r="I67" s="49">
        <v>20</v>
      </c>
      <c r="J67" s="49">
        <v>20</v>
      </c>
      <c r="K67" s="49">
        <v>21.5</v>
      </c>
      <c r="L67" s="49">
        <v>21.5</v>
      </c>
      <c r="M67" s="49">
        <v>21.5</v>
      </c>
      <c r="N67" s="49">
        <v>21.5</v>
      </c>
      <c r="O67" s="49">
        <v>21.5</v>
      </c>
      <c r="P67" s="49">
        <v>21.5</v>
      </c>
      <c r="Q67" s="49">
        <v>21.5</v>
      </c>
      <c r="R67" s="49">
        <v>21.5</v>
      </c>
      <c r="S67" s="49">
        <v>20</v>
      </c>
      <c r="T67" s="49">
        <v>20</v>
      </c>
    </row>
    <row r="68" spans="1:20" s="53" customFormat="1" ht="15.75" customHeight="1" x14ac:dyDescent="0.25">
      <c r="A68" s="50">
        <v>1980</v>
      </c>
      <c r="B68" s="50">
        <v>12</v>
      </c>
      <c r="C68" s="51">
        <f t="shared" ref="C68:C98" si="4">D68/B68</f>
        <v>21</v>
      </c>
      <c r="D68" s="51">
        <f t="shared" ref="D68:D98" si="5">SUM(I68:T68)</f>
        <v>252</v>
      </c>
      <c r="E68" s="49">
        <v>329.97</v>
      </c>
      <c r="F68" s="49">
        <f t="shared" ref="F68:F98" si="6">E68/C68</f>
        <v>15.712857142857144</v>
      </c>
      <c r="G68" s="52">
        <f t="shared" ref="G68:G98" si="7">C68/E68</f>
        <v>6.3642149286298744E-2</v>
      </c>
      <c r="I68" s="49">
        <v>20</v>
      </c>
      <c r="J68" s="49">
        <v>20</v>
      </c>
      <c r="K68" s="49">
        <v>21.5</v>
      </c>
      <c r="L68" s="49">
        <v>21.5</v>
      </c>
      <c r="M68" s="49">
        <v>21.5</v>
      </c>
      <c r="N68" s="49">
        <v>21.5</v>
      </c>
      <c r="O68" s="49">
        <v>21.5</v>
      </c>
      <c r="P68" s="49">
        <v>21.5</v>
      </c>
      <c r="Q68" s="49">
        <v>21.5</v>
      </c>
      <c r="R68" s="49">
        <v>21.5</v>
      </c>
      <c r="S68" s="49">
        <v>20</v>
      </c>
      <c r="T68" s="49">
        <v>20</v>
      </c>
    </row>
    <row r="69" spans="1:20" s="53" customFormat="1" ht="15.75" customHeight="1" x14ac:dyDescent="0.25">
      <c r="A69" s="50">
        <v>1981</v>
      </c>
      <c r="B69" s="50">
        <v>12</v>
      </c>
      <c r="C69" s="51">
        <f t="shared" si="4"/>
        <v>21</v>
      </c>
      <c r="D69" s="51">
        <f t="shared" si="5"/>
        <v>252</v>
      </c>
      <c r="E69" s="49">
        <v>329.97</v>
      </c>
      <c r="F69" s="49">
        <f t="shared" si="6"/>
        <v>15.712857142857144</v>
      </c>
      <c r="G69" s="52">
        <f t="shared" si="7"/>
        <v>6.3642149286298744E-2</v>
      </c>
      <c r="I69" s="49">
        <v>20</v>
      </c>
      <c r="J69" s="49">
        <v>20</v>
      </c>
      <c r="K69" s="49">
        <v>21.5</v>
      </c>
      <c r="L69" s="49">
        <v>21.5</v>
      </c>
      <c r="M69" s="49">
        <v>21.5</v>
      </c>
      <c r="N69" s="49">
        <v>21.5</v>
      </c>
      <c r="O69" s="49">
        <v>21.5</v>
      </c>
      <c r="P69" s="49">
        <v>21.5</v>
      </c>
      <c r="Q69" s="49">
        <v>21.5</v>
      </c>
      <c r="R69" s="49">
        <v>21.5</v>
      </c>
      <c r="S69" s="49">
        <v>20</v>
      </c>
      <c r="T69" s="49">
        <v>20</v>
      </c>
    </row>
    <row r="70" spans="1:20" s="53" customFormat="1" ht="15.75" customHeight="1" x14ac:dyDescent="0.25">
      <c r="A70" s="50">
        <v>1982</v>
      </c>
      <c r="B70" s="50">
        <v>12</v>
      </c>
      <c r="C70" s="51">
        <f t="shared" si="4"/>
        <v>21</v>
      </c>
      <c r="D70" s="51">
        <f t="shared" si="5"/>
        <v>252</v>
      </c>
      <c r="E70" s="49">
        <v>329.97</v>
      </c>
      <c r="F70" s="49">
        <f t="shared" si="6"/>
        <v>15.712857142857144</v>
      </c>
      <c r="G70" s="52">
        <f t="shared" si="7"/>
        <v>6.3642149286298744E-2</v>
      </c>
      <c r="I70" s="49">
        <v>20</v>
      </c>
      <c r="J70" s="49">
        <v>20</v>
      </c>
      <c r="K70" s="49">
        <v>21.5</v>
      </c>
      <c r="L70" s="49">
        <v>21.5</v>
      </c>
      <c r="M70" s="49">
        <v>21.5</v>
      </c>
      <c r="N70" s="49">
        <v>21.5</v>
      </c>
      <c r="O70" s="49">
        <v>21.5</v>
      </c>
      <c r="P70" s="49">
        <v>21.5</v>
      </c>
      <c r="Q70" s="49">
        <v>21.5</v>
      </c>
      <c r="R70" s="49">
        <v>21.5</v>
      </c>
      <c r="S70" s="49">
        <v>20</v>
      </c>
      <c r="T70" s="49">
        <v>20</v>
      </c>
    </row>
    <row r="71" spans="1:20" s="53" customFormat="1" ht="15.75" customHeight="1" x14ac:dyDescent="0.25">
      <c r="A71" s="50">
        <v>1983</v>
      </c>
      <c r="B71" s="50">
        <v>12</v>
      </c>
      <c r="C71" s="51">
        <f t="shared" si="4"/>
        <v>21</v>
      </c>
      <c r="D71" s="51">
        <f t="shared" si="5"/>
        <v>252</v>
      </c>
      <c r="E71" s="49">
        <v>329.97</v>
      </c>
      <c r="F71" s="49">
        <f t="shared" si="6"/>
        <v>15.712857142857144</v>
      </c>
      <c r="G71" s="52">
        <f t="shared" si="7"/>
        <v>6.3642149286298744E-2</v>
      </c>
      <c r="I71" s="49">
        <v>20</v>
      </c>
      <c r="J71" s="49">
        <v>20</v>
      </c>
      <c r="K71" s="49">
        <v>21.5</v>
      </c>
      <c r="L71" s="49">
        <v>21.5</v>
      </c>
      <c r="M71" s="49">
        <v>21.5</v>
      </c>
      <c r="N71" s="49">
        <v>21.5</v>
      </c>
      <c r="O71" s="49">
        <v>21.5</v>
      </c>
      <c r="P71" s="49">
        <v>21.5</v>
      </c>
      <c r="Q71" s="49">
        <v>21.5</v>
      </c>
      <c r="R71" s="49">
        <v>21.5</v>
      </c>
      <c r="S71" s="49">
        <v>20</v>
      </c>
      <c r="T71" s="49">
        <v>20</v>
      </c>
    </row>
    <row r="72" spans="1:20" s="53" customFormat="1" ht="15.75" customHeight="1" x14ac:dyDescent="0.25">
      <c r="A72" s="50">
        <v>1984</v>
      </c>
      <c r="B72" s="50">
        <v>12</v>
      </c>
      <c r="C72" s="51">
        <f t="shared" si="4"/>
        <v>21</v>
      </c>
      <c r="D72" s="51">
        <f t="shared" si="5"/>
        <v>252</v>
      </c>
      <c r="E72" s="49">
        <v>329.97</v>
      </c>
      <c r="F72" s="49">
        <f t="shared" si="6"/>
        <v>15.712857142857144</v>
      </c>
      <c r="G72" s="52">
        <f t="shared" si="7"/>
        <v>6.3642149286298744E-2</v>
      </c>
      <c r="I72" s="49">
        <v>20</v>
      </c>
      <c r="J72" s="49">
        <v>20</v>
      </c>
      <c r="K72" s="49">
        <v>21.5</v>
      </c>
      <c r="L72" s="49">
        <v>21.5</v>
      </c>
      <c r="M72" s="49">
        <v>21.5</v>
      </c>
      <c r="N72" s="49">
        <v>21.5</v>
      </c>
      <c r="O72" s="49">
        <v>21.5</v>
      </c>
      <c r="P72" s="49">
        <v>21.5</v>
      </c>
      <c r="Q72" s="49">
        <v>21.5</v>
      </c>
      <c r="R72" s="49">
        <v>21.5</v>
      </c>
      <c r="S72" s="49">
        <v>20</v>
      </c>
      <c r="T72" s="49">
        <v>20</v>
      </c>
    </row>
    <row r="73" spans="1:20" s="53" customFormat="1" ht="15.75" customHeight="1" x14ac:dyDescent="0.25">
      <c r="A73" s="50">
        <v>1985</v>
      </c>
      <c r="B73" s="50">
        <v>12</v>
      </c>
      <c r="C73" s="51">
        <f t="shared" si="4"/>
        <v>21.833333333333332</v>
      </c>
      <c r="D73" s="51">
        <f t="shared" si="5"/>
        <v>262</v>
      </c>
      <c r="E73" s="49">
        <v>329.97</v>
      </c>
      <c r="F73" s="49">
        <f t="shared" si="6"/>
        <v>15.113129770992369</v>
      </c>
      <c r="G73" s="52">
        <f t="shared" si="7"/>
        <v>6.6167631400834412E-2</v>
      </c>
      <c r="I73" s="49">
        <v>20</v>
      </c>
      <c r="J73" s="49">
        <v>20</v>
      </c>
      <c r="K73" s="49">
        <v>21.5</v>
      </c>
      <c r="L73" s="49">
        <v>21.5</v>
      </c>
      <c r="M73" s="49">
        <v>21.5</v>
      </c>
      <c r="N73" s="49">
        <v>21.5</v>
      </c>
      <c r="O73" s="49">
        <v>21.5</v>
      </c>
      <c r="P73" s="49">
        <v>21.5</v>
      </c>
      <c r="Q73" s="49">
        <v>21.5</v>
      </c>
      <c r="R73" s="49">
        <v>21.5</v>
      </c>
      <c r="S73" s="49">
        <v>25</v>
      </c>
      <c r="T73" s="49">
        <v>25</v>
      </c>
    </row>
    <row r="74" spans="1:20" s="53" customFormat="1" ht="15.75" customHeight="1" x14ac:dyDescent="0.25">
      <c r="A74" s="50">
        <v>1986</v>
      </c>
      <c r="B74" s="50">
        <v>12</v>
      </c>
      <c r="C74" s="51">
        <f t="shared" si="4"/>
        <v>26</v>
      </c>
      <c r="D74" s="51">
        <f t="shared" si="5"/>
        <v>312</v>
      </c>
      <c r="E74" s="49">
        <v>329.97</v>
      </c>
      <c r="F74" s="49">
        <f t="shared" si="6"/>
        <v>12.691153846153847</v>
      </c>
      <c r="G74" s="52">
        <f t="shared" si="7"/>
        <v>7.8795041973512739E-2</v>
      </c>
      <c r="I74" s="49">
        <v>25</v>
      </c>
      <c r="J74" s="49">
        <v>25</v>
      </c>
      <c r="K74" s="49">
        <v>26.5</v>
      </c>
      <c r="L74" s="49">
        <v>26.5</v>
      </c>
      <c r="M74" s="49">
        <v>26.5</v>
      </c>
      <c r="N74" s="49">
        <v>26.5</v>
      </c>
      <c r="O74" s="49">
        <v>26.5</v>
      </c>
      <c r="P74" s="49">
        <v>26.5</v>
      </c>
      <c r="Q74" s="49">
        <v>26.5</v>
      </c>
      <c r="R74" s="49">
        <v>26.5</v>
      </c>
      <c r="S74" s="49">
        <v>25</v>
      </c>
      <c r="T74" s="49">
        <v>25</v>
      </c>
    </row>
    <row r="75" spans="1:20" s="53" customFormat="1" ht="15.75" customHeight="1" x14ac:dyDescent="0.25">
      <c r="A75" s="50">
        <v>1987</v>
      </c>
      <c r="B75" s="50">
        <v>12</v>
      </c>
      <c r="C75" s="51">
        <f t="shared" si="4"/>
        <v>26.25</v>
      </c>
      <c r="D75" s="51">
        <f t="shared" si="5"/>
        <v>315</v>
      </c>
      <c r="E75" s="49">
        <v>329.97</v>
      </c>
      <c r="F75" s="49">
        <f t="shared" si="6"/>
        <v>12.570285714285715</v>
      </c>
      <c r="G75" s="52">
        <f t="shared" si="7"/>
        <v>7.955268660787343E-2</v>
      </c>
      <c r="I75" s="49">
        <v>25</v>
      </c>
      <c r="J75" s="49">
        <v>25</v>
      </c>
      <c r="K75" s="49">
        <v>26.5</v>
      </c>
      <c r="L75" s="49">
        <v>26.5</v>
      </c>
      <c r="M75" s="49">
        <v>26.5</v>
      </c>
      <c r="N75" s="49">
        <v>26.5</v>
      </c>
      <c r="O75" s="49">
        <v>26.5</v>
      </c>
      <c r="P75" s="49">
        <v>26.5</v>
      </c>
      <c r="Q75" s="49">
        <v>26.5</v>
      </c>
      <c r="R75" s="49">
        <v>26.5</v>
      </c>
      <c r="S75" s="49">
        <v>26.5</v>
      </c>
      <c r="T75" s="49">
        <v>26.5</v>
      </c>
    </row>
    <row r="76" spans="1:20" s="53" customFormat="1" ht="15.75" customHeight="1" x14ac:dyDescent="0.25">
      <c r="A76" s="50">
        <v>1988</v>
      </c>
      <c r="B76" s="50">
        <v>12</v>
      </c>
      <c r="C76" s="51">
        <f t="shared" si="4"/>
        <v>26.25</v>
      </c>
      <c r="D76" s="51">
        <f t="shared" si="5"/>
        <v>315</v>
      </c>
      <c r="E76" s="49">
        <v>329.97</v>
      </c>
      <c r="F76" s="49">
        <f t="shared" si="6"/>
        <v>12.570285714285715</v>
      </c>
      <c r="G76" s="52">
        <f t="shared" si="7"/>
        <v>7.955268660787343E-2</v>
      </c>
      <c r="I76" s="49">
        <v>26.5</v>
      </c>
      <c r="J76" s="49">
        <v>26.5</v>
      </c>
      <c r="K76" s="49">
        <v>26.5</v>
      </c>
      <c r="L76" s="49">
        <v>26.5</v>
      </c>
      <c r="M76" s="49">
        <v>26.5</v>
      </c>
      <c r="N76" s="49">
        <v>26.5</v>
      </c>
      <c r="O76" s="49">
        <v>26.5</v>
      </c>
      <c r="P76" s="49">
        <v>26.5</v>
      </c>
      <c r="Q76" s="49">
        <v>26.5</v>
      </c>
      <c r="R76" s="49">
        <v>26.5</v>
      </c>
      <c r="S76" s="49">
        <v>25</v>
      </c>
      <c r="T76" s="49">
        <v>25</v>
      </c>
    </row>
    <row r="77" spans="1:20" s="53" customFormat="1" ht="15.75" customHeight="1" x14ac:dyDescent="0.25">
      <c r="A77" s="50">
        <v>1989</v>
      </c>
      <c r="B77" s="50">
        <v>12</v>
      </c>
      <c r="C77" s="51">
        <f t="shared" si="4"/>
        <v>26</v>
      </c>
      <c r="D77" s="51">
        <f t="shared" si="5"/>
        <v>312</v>
      </c>
      <c r="E77" s="49">
        <v>329.97</v>
      </c>
      <c r="F77" s="49">
        <f t="shared" si="6"/>
        <v>12.691153846153847</v>
      </c>
      <c r="G77" s="52">
        <f t="shared" si="7"/>
        <v>7.8795041973512739E-2</v>
      </c>
      <c r="I77" s="49">
        <v>25</v>
      </c>
      <c r="J77" s="49">
        <v>25</v>
      </c>
      <c r="K77" s="49">
        <v>26.5</v>
      </c>
      <c r="L77" s="49">
        <v>26.5</v>
      </c>
      <c r="M77" s="49">
        <v>26.5</v>
      </c>
      <c r="N77" s="49">
        <v>26.5</v>
      </c>
      <c r="O77" s="49">
        <v>26.5</v>
      </c>
      <c r="P77" s="49">
        <v>26.5</v>
      </c>
      <c r="Q77" s="49">
        <v>26.5</v>
      </c>
      <c r="R77" s="49">
        <v>26.5</v>
      </c>
      <c r="S77" s="49">
        <v>25</v>
      </c>
      <c r="T77" s="49">
        <v>25</v>
      </c>
    </row>
    <row r="78" spans="1:20" s="53" customFormat="1" ht="15.75" customHeight="1" x14ac:dyDescent="0.25">
      <c r="A78" s="50">
        <v>1990</v>
      </c>
      <c r="B78" s="50">
        <v>12</v>
      </c>
      <c r="C78" s="51">
        <f t="shared" si="4"/>
        <v>26</v>
      </c>
      <c r="D78" s="51">
        <f t="shared" si="5"/>
        <v>312</v>
      </c>
      <c r="E78" s="49">
        <v>329.97</v>
      </c>
      <c r="F78" s="49">
        <f t="shared" si="6"/>
        <v>12.691153846153847</v>
      </c>
      <c r="G78" s="52">
        <f t="shared" si="7"/>
        <v>7.8795041973512739E-2</v>
      </c>
      <c r="I78" s="49">
        <v>25</v>
      </c>
      <c r="J78" s="49">
        <v>25</v>
      </c>
      <c r="K78" s="49">
        <v>26.5</v>
      </c>
      <c r="L78" s="49">
        <v>26.5</v>
      </c>
      <c r="M78" s="49">
        <v>26.5</v>
      </c>
      <c r="N78" s="49">
        <v>26.5</v>
      </c>
      <c r="O78" s="49">
        <v>26.5</v>
      </c>
      <c r="P78" s="49">
        <v>26.5</v>
      </c>
      <c r="Q78" s="49">
        <v>26.5</v>
      </c>
      <c r="R78" s="49">
        <v>26.5</v>
      </c>
      <c r="S78" s="49">
        <v>25</v>
      </c>
      <c r="T78" s="49">
        <v>25</v>
      </c>
    </row>
    <row r="79" spans="1:20" s="53" customFormat="1" ht="15.75" customHeight="1" x14ac:dyDescent="0.25">
      <c r="A79" s="50">
        <v>1991</v>
      </c>
      <c r="B79" s="50">
        <v>12</v>
      </c>
      <c r="C79" s="51">
        <f t="shared" si="4"/>
        <v>26</v>
      </c>
      <c r="D79" s="51">
        <f t="shared" si="5"/>
        <v>312</v>
      </c>
      <c r="E79" s="49">
        <v>329.97</v>
      </c>
      <c r="F79" s="49">
        <f t="shared" si="6"/>
        <v>12.691153846153847</v>
      </c>
      <c r="G79" s="52">
        <f t="shared" si="7"/>
        <v>7.8795041973512739E-2</v>
      </c>
      <c r="I79" s="49">
        <v>25</v>
      </c>
      <c r="J79" s="49">
        <v>25</v>
      </c>
      <c r="K79" s="49">
        <v>26.5</v>
      </c>
      <c r="L79" s="49">
        <v>26.5</v>
      </c>
      <c r="M79" s="49">
        <v>26.5</v>
      </c>
      <c r="N79" s="49">
        <v>26.5</v>
      </c>
      <c r="O79" s="49">
        <v>26.5</v>
      </c>
      <c r="P79" s="49">
        <v>26.5</v>
      </c>
      <c r="Q79" s="49">
        <v>26.5</v>
      </c>
      <c r="R79" s="49">
        <v>26.5</v>
      </c>
      <c r="S79" s="49">
        <v>25</v>
      </c>
      <c r="T79" s="49">
        <v>25</v>
      </c>
    </row>
    <row r="80" spans="1:20" s="53" customFormat="1" ht="15.75" customHeight="1" x14ac:dyDescent="0.25">
      <c r="A80" s="50">
        <v>1992</v>
      </c>
      <c r="B80" s="50">
        <v>12</v>
      </c>
      <c r="C80" s="51">
        <f t="shared" si="4"/>
        <v>26</v>
      </c>
      <c r="D80" s="51">
        <f t="shared" si="5"/>
        <v>312</v>
      </c>
      <c r="E80" s="49">
        <v>329.97</v>
      </c>
      <c r="F80" s="49">
        <f t="shared" si="6"/>
        <v>12.691153846153847</v>
      </c>
      <c r="G80" s="52">
        <f t="shared" si="7"/>
        <v>7.8795041973512739E-2</v>
      </c>
      <c r="I80" s="49">
        <v>25</v>
      </c>
      <c r="J80" s="49">
        <v>25</v>
      </c>
      <c r="K80" s="49">
        <v>26.5</v>
      </c>
      <c r="L80" s="49">
        <v>26.5</v>
      </c>
      <c r="M80" s="49">
        <v>26.5</v>
      </c>
      <c r="N80" s="49">
        <v>26.5</v>
      </c>
      <c r="O80" s="49">
        <v>26.5</v>
      </c>
      <c r="P80" s="49">
        <v>26.5</v>
      </c>
      <c r="Q80" s="49">
        <v>26.5</v>
      </c>
      <c r="R80" s="49">
        <v>26.5</v>
      </c>
      <c r="S80" s="49">
        <v>25</v>
      </c>
      <c r="T80" s="49">
        <v>25</v>
      </c>
    </row>
    <row r="81" spans="1:20" s="53" customFormat="1" ht="15.75" customHeight="1" x14ac:dyDescent="0.25">
      <c r="A81" s="50">
        <v>1993</v>
      </c>
      <c r="B81" s="50">
        <v>12</v>
      </c>
      <c r="C81" s="51">
        <f t="shared" si="4"/>
        <v>26</v>
      </c>
      <c r="D81" s="51">
        <f t="shared" si="5"/>
        <v>312</v>
      </c>
      <c r="E81" s="49">
        <v>329.97</v>
      </c>
      <c r="F81" s="49">
        <f t="shared" si="6"/>
        <v>12.691153846153847</v>
      </c>
      <c r="G81" s="52">
        <f t="shared" si="7"/>
        <v>7.8795041973512739E-2</v>
      </c>
      <c r="I81" s="49">
        <v>25</v>
      </c>
      <c r="J81" s="49">
        <v>25</v>
      </c>
      <c r="K81" s="49">
        <v>26.5</v>
      </c>
      <c r="L81" s="49">
        <v>26.5</v>
      </c>
      <c r="M81" s="49">
        <v>26.5</v>
      </c>
      <c r="N81" s="49">
        <v>26.5</v>
      </c>
      <c r="O81" s="49">
        <v>26.5</v>
      </c>
      <c r="P81" s="49">
        <v>26.5</v>
      </c>
      <c r="Q81" s="49">
        <v>26.5</v>
      </c>
      <c r="R81" s="49">
        <v>26.5</v>
      </c>
      <c r="S81" s="49">
        <v>25</v>
      </c>
      <c r="T81" s="49">
        <v>25</v>
      </c>
    </row>
    <row r="82" spans="1:20" s="53" customFormat="1" ht="15.75" customHeight="1" x14ac:dyDescent="0.25">
      <c r="A82" s="50">
        <v>1994</v>
      </c>
      <c r="B82" s="50">
        <v>12</v>
      </c>
      <c r="C82" s="51">
        <f t="shared" si="4"/>
        <v>26</v>
      </c>
      <c r="D82" s="51">
        <f t="shared" si="5"/>
        <v>312</v>
      </c>
      <c r="E82" s="49">
        <v>329.97</v>
      </c>
      <c r="F82" s="49">
        <f t="shared" si="6"/>
        <v>12.691153846153847</v>
      </c>
      <c r="G82" s="52">
        <f t="shared" si="7"/>
        <v>7.8795041973512739E-2</v>
      </c>
      <c r="I82" s="49">
        <v>25</v>
      </c>
      <c r="J82" s="49">
        <v>25</v>
      </c>
      <c r="K82" s="49">
        <v>26.5</v>
      </c>
      <c r="L82" s="49">
        <v>26.5</v>
      </c>
      <c r="M82" s="49">
        <v>26.5</v>
      </c>
      <c r="N82" s="49">
        <v>26.5</v>
      </c>
      <c r="O82" s="49">
        <v>26.5</v>
      </c>
      <c r="P82" s="49">
        <v>26.5</v>
      </c>
      <c r="Q82" s="49">
        <v>26.5</v>
      </c>
      <c r="R82" s="49">
        <v>26.5</v>
      </c>
      <c r="S82" s="49">
        <v>25</v>
      </c>
      <c r="T82" s="49">
        <v>25</v>
      </c>
    </row>
    <row r="83" spans="1:20" s="53" customFormat="1" ht="15.75" customHeight="1" x14ac:dyDescent="0.25">
      <c r="A83" s="50">
        <v>1995</v>
      </c>
      <c r="B83" s="50">
        <v>12</v>
      </c>
      <c r="C83" s="51">
        <f t="shared" si="4"/>
        <v>26</v>
      </c>
      <c r="D83" s="51">
        <f t="shared" si="5"/>
        <v>312</v>
      </c>
      <c r="E83" s="49">
        <v>329.97</v>
      </c>
      <c r="F83" s="49">
        <f t="shared" si="6"/>
        <v>12.691153846153847</v>
      </c>
      <c r="G83" s="52">
        <f t="shared" si="7"/>
        <v>7.8795041973512739E-2</v>
      </c>
      <c r="I83" s="49">
        <v>25</v>
      </c>
      <c r="J83" s="49">
        <v>25</v>
      </c>
      <c r="K83" s="49">
        <v>26.5</v>
      </c>
      <c r="L83" s="49">
        <v>26.5</v>
      </c>
      <c r="M83" s="49">
        <v>26.5</v>
      </c>
      <c r="N83" s="49">
        <v>26.5</v>
      </c>
      <c r="O83" s="49">
        <v>26.5</v>
      </c>
      <c r="P83" s="49">
        <v>26.5</v>
      </c>
      <c r="Q83" s="49">
        <v>26.5</v>
      </c>
      <c r="R83" s="49">
        <v>26.5</v>
      </c>
      <c r="S83" s="49">
        <v>25</v>
      </c>
      <c r="T83" s="49">
        <v>25</v>
      </c>
    </row>
    <row r="84" spans="1:20" s="53" customFormat="1" ht="15.75" customHeight="1" x14ac:dyDescent="0.25">
      <c r="A84" s="50">
        <v>1996</v>
      </c>
      <c r="B84" s="50">
        <v>12</v>
      </c>
      <c r="C84" s="51">
        <f t="shared" si="4"/>
        <v>26.25</v>
      </c>
      <c r="D84" s="51">
        <f t="shared" si="5"/>
        <v>315</v>
      </c>
      <c r="E84" s="49">
        <v>329.97</v>
      </c>
      <c r="F84" s="49">
        <f t="shared" si="6"/>
        <v>12.570285714285715</v>
      </c>
      <c r="G84" s="52">
        <f t="shared" si="7"/>
        <v>7.955268660787343E-2</v>
      </c>
      <c r="I84" s="49">
        <v>25</v>
      </c>
      <c r="J84" s="49">
        <v>25</v>
      </c>
      <c r="K84" s="49">
        <v>26.5</v>
      </c>
      <c r="L84" s="49">
        <v>26.5</v>
      </c>
      <c r="M84" s="49">
        <v>26.5</v>
      </c>
      <c r="N84" s="49">
        <v>26.5</v>
      </c>
      <c r="O84" s="49">
        <v>26.5</v>
      </c>
      <c r="P84" s="49">
        <v>26.5</v>
      </c>
      <c r="Q84" s="49">
        <v>26.5</v>
      </c>
      <c r="R84" s="49">
        <v>26.5</v>
      </c>
      <c r="S84" s="49">
        <v>26.5</v>
      </c>
      <c r="T84" s="49">
        <v>26.5</v>
      </c>
    </row>
    <row r="85" spans="1:20" s="53" customFormat="1" ht="15.75" customHeight="1" x14ac:dyDescent="0.25">
      <c r="A85" s="50">
        <v>1997</v>
      </c>
      <c r="B85" s="50">
        <v>12</v>
      </c>
      <c r="C85" s="51">
        <f t="shared" si="4"/>
        <v>25.666666666666668</v>
      </c>
      <c r="D85" s="51">
        <f t="shared" si="5"/>
        <v>308</v>
      </c>
      <c r="E85" s="49">
        <v>329.97</v>
      </c>
      <c r="F85" s="49">
        <f t="shared" si="6"/>
        <v>12.855974025974026</v>
      </c>
      <c r="G85" s="52">
        <f t="shared" si="7"/>
        <v>7.778484912769848E-2</v>
      </c>
      <c r="I85" s="49">
        <v>26.5</v>
      </c>
      <c r="J85" s="49">
        <v>26.5</v>
      </c>
      <c r="K85" s="49">
        <v>26.5</v>
      </c>
      <c r="L85" s="49">
        <v>26.5</v>
      </c>
      <c r="M85" s="49">
        <v>26.5</v>
      </c>
      <c r="N85" s="49">
        <v>26.5</v>
      </c>
      <c r="O85" s="49">
        <v>26.5</v>
      </c>
      <c r="P85" s="49">
        <v>26.5</v>
      </c>
      <c r="Q85" s="49">
        <v>26.5</v>
      </c>
      <c r="R85" s="49">
        <v>26.5</v>
      </c>
      <c r="S85" s="49">
        <v>21.5</v>
      </c>
      <c r="T85" s="49">
        <v>21.5</v>
      </c>
    </row>
    <row r="86" spans="1:20" s="53" customFormat="1" ht="15.75" customHeight="1" x14ac:dyDescent="0.25">
      <c r="A86" s="50">
        <v>1998</v>
      </c>
      <c r="B86" s="50">
        <v>12</v>
      </c>
      <c r="C86" s="51">
        <f t="shared" si="4"/>
        <v>22.083333333333332</v>
      </c>
      <c r="D86" s="51">
        <f t="shared" si="5"/>
        <v>265</v>
      </c>
      <c r="E86" s="49">
        <v>329.97</v>
      </c>
      <c r="F86" s="49">
        <f t="shared" si="6"/>
        <v>14.942037735849059</v>
      </c>
      <c r="G86" s="52">
        <f t="shared" si="7"/>
        <v>6.6925276035195116E-2</v>
      </c>
      <c r="I86" s="49">
        <v>21.5</v>
      </c>
      <c r="J86" s="49">
        <v>21.5</v>
      </c>
      <c r="K86" s="49">
        <v>21.5</v>
      </c>
      <c r="L86" s="49">
        <v>21.5</v>
      </c>
      <c r="M86" s="49">
        <v>21.5</v>
      </c>
      <c r="N86" s="49">
        <v>21.5</v>
      </c>
      <c r="O86" s="49">
        <v>21.5</v>
      </c>
      <c r="P86" s="49">
        <v>21.5</v>
      </c>
      <c r="Q86" s="49">
        <v>21.5</v>
      </c>
      <c r="R86" s="49">
        <v>21.5</v>
      </c>
      <c r="S86" s="49">
        <v>25</v>
      </c>
      <c r="T86" s="49">
        <v>25</v>
      </c>
    </row>
    <row r="87" spans="1:20" s="53" customFormat="1" ht="15.75" customHeight="1" x14ac:dyDescent="0.25">
      <c r="A87" s="50">
        <v>1999</v>
      </c>
      <c r="B87" s="50">
        <v>12</v>
      </c>
      <c r="C87" s="51">
        <f t="shared" si="4"/>
        <v>25.75</v>
      </c>
      <c r="D87" s="51">
        <f t="shared" si="5"/>
        <v>309</v>
      </c>
      <c r="E87" s="49">
        <v>329.97</v>
      </c>
      <c r="F87" s="49">
        <f t="shared" si="6"/>
        <v>12.814368932038835</v>
      </c>
      <c r="G87" s="52">
        <f t="shared" si="7"/>
        <v>7.8037397339152034E-2</v>
      </c>
      <c r="I87" s="49">
        <v>25</v>
      </c>
      <c r="J87" s="49">
        <v>25</v>
      </c>
      <c r="K87" s="49">
        <v>26.5</v>
      </c>
      <c r="L87" s="49">
        <v>26.5</v>
      </c>
      <c r="M87" s="49">
        <v>26.5</v>
      </c>
      <c r="N87" s="49">
        <v>26.5</v>
      </c>
      <c r="O87" s="49">
        <v>26.5</v>
      </c>
      <c r="P87" s="49">
        <v>26.5</v>
      </c>
      <c r="Q87" s="49">
        <v>25</v>
      </c>
      <c r="R87" s="49">
        <v>25</v>
      </c>
      <c r="S87" s="49">
        <v>25</v>
      </c>
      <c r="T87" s="49">
        <v>25</v>
      </c>
    </row>
    <row r="88" spans="1:20" s="53" customFormat="1" ht="15.75" customHeight="1" x14ac:dyDescent="0.25">
      <c r="A88" s="50">
        <v>2000</v>
      </c>
      <c r="B88" s="50">
        <v>12</v>
      </c>
      <c r="C88" s="51">
        <f t="shared" si="4"/>
        <v>25.75</v>
      </c>
      <c r="D88" s="51">
        <f t="shared" si="5"/>
        <v>309</v>
      </c>
      <c r="E88" s="49">
        <v>329.97</v>
      </c>
      <c r="F88" s="49">
        <f t="shared" si="6"/>
        <v>12.814368932038835</v>
      </c>
      <c r="G88" s="52">
        <f t="shared" si="7"/>
        <v>7.8037397339152034E-2</v>
      </c>
      <c r="I88" s="49">
        <v>25</v>
      </c>
      <c r="J88" s="49">
        <v>25</v>
      </c>
      <c r="K88" s="49">
        <v>26.5</v>
      </c>
      <c r="L88" s="49">
        <v>26.5</v>
      </c>
      <c r="M88" s="49">
        <v>26.5</v>
      </c>
      <c r="N88" s="49">
        <v>26.5</v>
      </c>
      <c r="O88" s="49">
        <v>26.5</v>
      </c>
      <c r="P88" s="49">
        <v>26.5</v>
      </c>
      <c r="Q88" s="49">
        <v>25</v>
      </c>
      <c r="R88" s="49">
        <v>25</v>
      </c>
      <c r="S88" s="49">
        <v>25</v>
      </c>
      <c r="T88" s="49">
        <v>25</v>
      </c>
    </row>
    <row r="89" spans="1:20" s="53" customFormat="1" ht="15.75" customHeight="1" x14ac:dyDescent="0.25">
      <c r="A89" s="50">
        <v>2001</v>
      </c>
      <c r="B89" s="50">
        <v>12</v>
      </c>
      <c r="C89" s="51">
        <f t="shared" si="4"/>
        <v>25</v>
      </c>
      <c r="D89" s="51">
        <f t="shared" si="5"/>
        <v>300</v>
      </c>
      <c r="E89" s="49">
        <v>329.97</v>
      </c>
      <c r="F89" s="49">
        <f t="shared" si="6"/>
        <v>13.1988</v>
      </c>
      <c r="G89" s="52">
        <f t="shared" si="7"/>
        <v>7.5764463436069934E-2</v>
      </c>
      <c r="I89" s="49">
        <v>25</v>
      </c>
      <c r="J89" s="49">
        <v>25</v>
      </c>
      <c r="K89" s="49">
        <v>25</v>
      </c>
      <c r="L89" s="49">
        <v>25</v>
      </c>
      <c r="M89" s="49">
        <v>25</v>
      </c>
      <c r="N89" s="49">
        <v>25</v>
      </c>
      <c r="O89" s="49">
        <v>25</v>
      </c>
      <c r="P89" s="49">
        <v>25</v>
      </c>
      <c r="Q89" s="49">
        <v>25</v>
      </c>
      <c r="R89" s="49">
        <v>25</v>
      </c>
      <c r="S89" s="49">
        <v>25</v>
      </c>
      <c r="T89" s="49">
        <v>25</v>
      </c>
    </row>
    <row r="90" spans="1:20" s="53" customFormat="1" ht="15.75" customHeight="1" x14ac:dyDescent="0.25">
      <c r="A90" s="50">
        <v>2002</v>
      </c>
      <c r="B90" s="50">
        <v>12</v>
      </c>
      <c r="C90" s="51">
        <f t="shared" si="4"/>
        <v>25</v>
      </c>
      <c r="D90" s="51">
        <f t="shared" si="5"/>
        <v>300</v>
      </c>
      <c r="E90" s="49">
        <v>329.97</v>
      </c>
      <c r="F90" s="49">
        <f t="shared" si="6"/>
        <v>13.1988</v>
      </c>
      <c r="G90" s="52">
        <f t="shared" si="7"/>
        <v>7.5764463436069934E-2</v>
      </c>
      <c r="I90" s="49">
        <v>25</v>
      </c>
      <c r="J90" s="49">
        <v>25</v>
      </c>
      <c r="K90" s="49">
        <v>25</v>
      </c>
      <c r="L90" s="49">
        <v>25</v>
      </c>
      <c r="M90" s="49">
        <v>25</v>
      </c>
      <c r="N90" s="49">
        <v>25</v>
      </c>
      <c r="O90" s="49">
        <v>25</v>
      </c>
      <c r="P90" s="49">
        <v>25</v>
      </c>
      <c r="Q90" s="49">
        <v>25</v>
      </c>
      <c r="R90" s="49">
        <v>25</v>
      </c>
      <c r="S90" s="49">
        <v>25</v>
      </c>
      <c r="T90" s="49">
        <v>25</v>
      </c>
    </row>
    <row r="91" spans="1:20" s="53" customFormat="1" ht="15.75" customHeight="1" x14ac:dyDescent="0.25">
      <c r="A91" s="50">
        <v>2003</v>
      </c>
      <c r="B91" s="50">
        <v>12</v>
      </c>
      <c r="C91" s="51">
        <f t="shared" si="4"/>
        <v>25</v>
      </c>
      <c r="D91" s="51">
        <f t="shared" si="5"/>
        <v>300</v>
      </c>
      <c r="E91" s="49">
        <v>329.97</v>
      </c>
      <c r="F91" s="49">
        <f t="shared" si="6"/>
        <v>13.1988</v>
      </c>
      <c r="G91" s="52">
        <f t="shared" si="7"/>
        <v>7.5764463436069934E-2</v>
      </c>
      <c r="I91" s="49">
        <v>25</v>
      </c>
      <c r="J91" s="49">
        <v>25</v>
      </c>
      <c r="K91" s="49">
        <v>25</v>
      </c>
      <c r="L91" s="49">
        <v>25</v>
      </c>
      <c r="M91" s="49">
        <v>25</v>
      </c>
      <c r="N91" s="49">
        <v>25</v>
      </c>
      <c r="O91" s="49">
        <v>25</v>
      </c>
      <c r="P91" s="49">
        <v>25</v>
      </c>
      <c r="Q91" s="49">
        <v>25</v>
      </c>
      <c r="R91" s="49">
        <v>25</v>
      </c>
      <c r="S91" s="49">
        <v>25</v>
      </c>
      <c r="T91" s="49">
        <v>25</v>
      </c>
    </row>
    <row r="92" spans="1:20" s="53" customFormat="1" ht="15.75" customHeight="1" x14ac:dyDescent="0.25">
      <c r="A92" s="50">
        <v>2004</v>
      </c>
      <c r="B92" s="50">
        <v>12</v>
      </c>
      <c r="C92" s="51">
        <f t="shared" si="4"/>
        <v>25</v>
      </c>
      <c r="D92" s="51">
        <f t="shared" si="5"/>
        <v>300</v>
      </c>
      <c r="E92" s="49">
        <v>329.97</v>
      </c>
      <c r="F92" s="49">
        <f t="shared" si="6"/>
        <v>13.1988</v>
      </c>
      <c r="G92" s="52">
        <f t="shared" si="7"/>
        <v>7.5764463436069934E-2</v>
      </c>
      <c r="I92" s="49">
        <v>25</v>
      </c>
      <c r="J92" s="49">
        <v>25</v>
      </c>
      <c r="K92" s="49">
        <v>25</v>
      </c>
      <c r="L92" s="49">
        <v>25</v>
      </c>
      <c r="M92" s="49">
        <v>25</v>
      </c>
      <c r="N92" s="49">
        <v>25</v>
      </c>
      <c r="O92" s="49">
        <v>25</v>
      </c>
      <c r="P92" s="49">
        <v>25</v>
      </c>
      <c r="Q92" s="49">
        <v>25</v>
      </c>
      <c r="R92" s="49">
        <v>25</v>
      </c>
      <c r="S92" s="49">
        <v>25</v>
      </c>
      <c r="T92" s="49">
        <v>25</v>
      </c>
    </row>
    <row r="93" spans="1:20" s="53" customFormat="1" ht="15.75" customHeight="1" x14ac:dyDescent="0.25">
      <c r="A93" s="50">
        <v>2005</v>
      </c>
      <c r="B93" s="50">
        <v>12</v>
      </c>
      <c r="C93" s="51">
        <f t="shared" si="4"/>
        <v>25.25</v>
      </c>
      <c r="D93" s="51">
        <f t="shared" si="5"/>
        <v>303</v>
      </c>
      <c r="E93" s="49">
        <v>329.97</v>
      </c>
      <c r="F93" s="49">
        <f t="shared" si="6"/>
        <v>13.06811881188119</v>
      </c>
      <c r="G93" s="52">
        <f t="shared" si="7"/>
        <v>7.6522108070430639E-2</v>
      </c>
      <c r="I93" s="49">
        <v>25</v>
      </c>
      <c r="J93" s="49">
        <v>25</v>
      </c>
      <c r="K93" s="49">
        <v>25</v>
      </c>
      <c r="L93" s="49">
        <v>25</v>
      </c>
      <c r="M93" s="49">
        <v>25</v>
      </c>
      <c r="N93" s="49">
        <v>25</v>
      </c>
      <c r="O93" s="49">
        <v>25</v>
      </c>
      <c r="P93" s="49">
        <v>25</v>
      </c>
      <c r="Q93" s="49">
        <v>25</v>
      </c>
      <c r="R93" s="49">
        <v>25</v>
      </c>
      <c r="S93" s="49">
        <v>26.5</v>
      </c>
      <c r="T93" s="49">
        <v>26.5</v>
      </c>
    </row>
    <row r="94" spans="1:20" s="53" customFormat="1" ht="15.75" customHeight="1" x14ac:dyDescent="0.25">
      <c r="A94" s="50">
        <v>2006</v>
      </c>
      <c r="B94" s="50">
        <v>12</v>
      </c>
      <c r="C94" s="51">
        <f t="shared" si="4"/>
        <v>22.083333333333332</v>
      </c>
      <c r="D94" s="51">
        <f t="shared" si="5"/>
        <v>265</v>
      </c>
      <c r="E94" s="49">
        <v>329.97</v>
      </c>
      <c r="F94" s="49">
        <f t="shared" si="6"/>
        <v>14.942037735849059</v>
      </c>
      <c r="G94" s="52">
        <f t="shared" si="7"/>
        <v>6.6925276035195116E-2</v>
      </c>
      <c r="I94" s="49">
        <v>26.5</v>
      </c>
      <c r="J94" s="49">
        <v>26.5</v>
      </c>
      <c r="K94" s="49">
        <v>26.5</v>
      </c>
      <c r="L94" s="49">
        <v>26.5</v>
      </c>
      <c r="M94" s="49">
        <v>26.5</v>
      </c>
      <c r="N94" s="49">
        <v>26.5</v>
      </c>
      <c r="O94" s="49">
        <v>26.5</v>
      </c>
      <c r="P94" s="49">
        <v>26.5</v>
      </c>
      <c r="Q94" s="49">
        <v>26.5</v>
      </c>
      <c r="R94" s="49">
        <v>26.5</v>
      </c>
      <c r="S94" s="49">
        <v>0</v>
      </c>
      <c r="T94" s="49">
        <v>0</v>
      </c>
    </row>
    <row r="95" spans="1:20" s="53" customFormat="1" ht="15.75" customHeight="1" x14ac:dyDescent="0.25">
      <c r="A95" s="50">
        <v>2007</v>
      </c>
      <c r="B95" s="50">
        <v>12</v>
      </c>
      <c r="C95" s="51">
        <f t="shared" si="4"/>
        <v>10.966666666666667</v>
      </c>
      <c r="D95" s="51">
        <f t="shared" si="5"/>
        <v>131.6</v>
      </c>
      <c r="E95" s="49">
        <v>329.97</v>
      </c>
      <c r="F95" s="49">
        <f t="shared" si="6"/>
        <v>30.088449848024318</v>
      </c>
      <c r="G95" s="52">
        <f t="shared" si="7"/>
        <v>3.3235344627289345E-2</v>
      </c>
      <c r="I95" s="49">
        <v>0</v>
      </c>
      <c r="J95" s="49">
        <v>0</v>
      </c>
      <c r="K95" s="49">
        <v>29.6</v>
      </c>
      <c r="L95" s="49">
        <v>64.5</v>
      </c>
      <c r="M95" s="49">
        <v>37.5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2008</v>
      </c>
      <c r="B96" s="50">
        <v>12</v>
      </c>
      <c r="C96" s="51">
        <f t="shared" si="4"/>
        <v>13.716666666666663</v>
      </c>
      <c r="D96" s="51">
        <f t="shared" si="5"/>
        <v>164.59999999999997</v>
      </c>
      <c r="E96" s="49">
        <v>329.97</v>
      </c>
      <c r="F96" s="49">
        <f t="shared" si="6"/>
        <v>24.05613608748482</v>
      </c>
      <c r="G96" s="52">
        <f t="shared" si="7"/>
        <v>4.1569435605257027E-2</v>
      </c>
      <c r="I96" s="49">
        <v>0</v>
      </c>
      <c r="J96" s="49">
        <v>2.2000000000000002</v>
      </c>
      <c r="K96" s="49">
        <v>63</v>
      </c>
      <c r="L96" s="49">
        <v>63</v>
      </c>
      <c r="M96" s="49">
        <v>12.7</v>
      </c>
      <c r="N96" s="49">
        <v>0</v>
      </c>
      <c r="O96" s="49">
        <v>2</v>
      </c>
      <c r="P96" s="49">
        <v>0</v>
      </c>
      <c r="Q96" s="49">
        <v>21.7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2009</v>
      </c>
      <c r="B97" s="50">
        <v>12</v>
      </c>
      <c r="C97" s="51">
        <f t="shared" si="4"/>
        <v>13.508333333333333</v>
      </c>
      <c r="D97" s="51">
        <f t="shared" si="5"/>
        <v>162.1</v>
      </c>
      <c r="E97" s="49">
        <v>329.97</v>
      </c>
      <c r="F97" s="49">
        <f t="shared" si="6"/>
        <v>24.42714373843307</v>
      </c>
      <c r="G97" s="52">
        <f t="shared" si="7"/>
        <v>4.093806507662312E-2</v>
      </c>
      <c r="I97" s="49">
        <v>0</v>
      </c>
      <c r="J97" s="49">
        <v>0</v>
      </c>
      <c r="K97" s="49">
        <v>57</v>
      </c>
      <c r="L97" s="49">
        <v>68</v>
      </c>
      <c r="M97" s="49">
        <v>37</v>
      </c>
      <c r="N97" s="49">
        <v>0</v>
      </c>
      <c r="O97" s="49">
        <v>0.1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2010</v>
      </c>
      <c r="B98" s="50">
        <v>12</v>
      </c>
      <c r="C98" s="51">
        <f t="shared" si="4"/>
        <v>8.2333333333333325</v>
      </c>
      <c r="D98" s="51">
        <f t="shared" si="5"/>
        <v>98.8</v>
      </c>
      <c r="E98" s="49">
        <v>329.97</v>
      </c>
      <c r="F98" s="49">
        <f t="shared" si="6"/>
        <v>40.077327935222677</v>
      </c>
      <c r="G98" s="52">
        <f t="shared" si="7"/>
        <v>2.4951763291612365E-2</v>
      </c>
      <c r="I98" s="49">
        <v>0</v>
      </c>
      <c r="J98" s="49">
        <v>54.5</v>
      </c>
      <c r="K98" s="49">
        <v>24</v>
      </c>
      <c r="L98" s="49">
        <v>20.3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2011</v>
      </c>
      <c r="B99" s="50">
        <v>12</v>
      </c>
      <c r="C99" s="51">
        <f t="shared" ref="C99:C108" si="8">D99/B99</f>
        <v>13.133333333333333</v>
      </c>
      <c r="D99" s="51">
        <f t="shared" ref="D99:D108" si="9">SUM(I99:T99)</f>
        <v>157.6</v>
      </c>
      <c r="E99" s="49">
        <v>329.97</v>
      </c>
      <c r="F99" s="49">
        <f t="shared" ref="F99:F108" si="10">E99/C99</f>
        <v>25.124619289340103</v>
      </c>
      <c r="G99" s="52">
        <f t="shared" ref="G99:G108" si="11">C99/E99</f>
        <v>3.980159812508207E-2</v>
      </c>
      <c r="I99" s="49">
        <v>0</v>
      </c>
      <c r="J99" s="49">
        <v>0</v>
      </c>
      <c r="K99" s="49">
        <v>68</v>
      </c>
      <c r="L99" s="49">
        <v>68</v>
      </c>
      <c r="M99" s="49">
        <v>21.6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2012</v>
      </c>
      <c r="B100" s="50">
        <v>12</v>
      </c>
      <c r="C100" s="51">
        <f t="shared" si="8"/>
        <v>11.233333333333334</v>
      </c>
      <c r="D100" s="51">
        <f t="shared" si="9"/>
        <v>134.80000000000001</v>
      </c>
      <c r="E100" s="49">
        <v>329.97</v>
      </c>
      <c r="F100" s="49">
        <f t="shared" si="10"/>
        <v>29.374183976261129</v>
      </c>
      <c r="G100" s="52">
        <f t="shared" si="11"/>
        <v>3.4043498903940761E-2</v>
      </c>
      <c r="I100" s="49">
        <v>0</v>
      </c>
      <c r="J100" s="49">
        <v>0</v>
      </c>
      <c r="K100" s="49">
        <v>0</v>
      </c>
      <c r="L100" s="49">
        <v>53.7</v>
      </c>
      <c r="M100" s="49">
        <v>70</v>
      </c>
      <c r="N100" s="49">
        <v>11.1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2013</v>
      </c>
      <c r="B101" s="50">
        <v>12</v>
      </c>
      <c r="C101" s="51">
        <f t="shared" si="8"/>
        <v>2.8250000000000006</v>
      </c>
      <c r="D101" s="51">
        <f t="shared" si="9"/>
        <v>33.900000000000006</v>
      </c>
      <c r="E101" s="49">
        <v>329.97</v>
      </c>
      <c r="F101" s="49">
        <f t="shared" si="10"/>
        <v>116.80353982300883</v>
      </c>
      <c r="G101" s="52">
        <f t="shared" si="11"/>
        <v>8.5613843682759046E-3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11.3</v>
      </c>
      <c r="P101" s="49">
        <v>22.6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2014</v>
      </c>
      <c r="B102" s="50">
        <v>12</v>
      </c>
      <c r="C102" s="51">
        <f t="shared" si="8"/>
        <v>3.8916666666666662</v>
      </c>
      <c r="D102" s="51">
        <f t="shared" si="9"/>
        <v>46.699999999999996</v>
      </c>
      <c r="E102" s="49">
        <v>329.97</v>
      </c>
      <c r="F102" s="49">
        <f t="shared" si="10"/>
        <v>84.788865096359757</v>
      </c>
      <c r="G102" s="52">
        <f t="shared" si="11"/>
        <v>1.1794001474881553E-2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43.9</v>
      </c>
      <c r="Q102" s="49">
        <v>2.8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2015</v>
      </c>
      <c r="B103" s="50">
        <v>12</v>
      </c>
      <c r="C103" s="51">
        <f t="shared" si="8"/>
        <v>11.800000000000002</v>
      </c>
      <c r="D103" s="51">
        <f t="shared" si="9"/>
        <v>141.60000000000002</v>
      </c>
      <c r="E103" s="49">
        <v>329.97</v>
      </c>
      <c r="F103" s="49">
        <f t="shared" si="10"/>
        <v>27.963559322033895</v>
      </c>
      <c r="G103" s="52">
        <f t="shared" si="11"/>
        <v>3.5760826741825021E-2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72.900000000000006</v>
      </c>
      <c r="T103" s="49">
        <v>68.7</v>
      </c>
    </row>
    <row r="104" spans="1:20" s="53" customFormat="1" ht="15.75" customHeight="1" x14ac:dyDescent="0.25">
      <c r="A104" s="50">
        <v>2016</v>
      </c>
      <c r="B104" s="50">
        <v>12</v>
      </c>
      <c r="C104" s="51">
        <f t="shared" si="8"/>
        <v>10.233333333333333</v>
      </c>
      <c r="D104" s="51">
        <f t="shared" si="9"/>
        <v>122.8</v>
      </c>
      <c r="E104" s="49">
        <v>329.97</v>
      </c>
      <c r="F104" s="49">
        <f t="shared" si="10"/>
        <v>32.244625407166126</v>
      </c>
      <c r="G104" s="52">
        <f t="shared" si="11"/>
        <v>3.101292036649796E-2</v>
      </c>
      <c r="I104" s="49">
        <v>8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32.799999999999997</v>
      </c>
      <c r="T104" s="49">
        <v>82</v>
      </c>
    </row>
    <row r="105" spans="1:20" s="53" customFormat="1" ht="15.75" customHeight="1" x14ac:dyDescent="0.25">
      <c r="A105" s="50">
        <v>2017</v>
      </c>
      <c r="B105" s="50">
        <v>12</v>
      </c>
      <c r="C105" s="51">
        <f t="shared" si="8"/>
        <v>17.228083333333334</v>
      </c>
      <c r="D105" s="51">
        <f t="shared" si="9"/>
        <v>206.73700000000002</v>
      </c>
      <c r="E105" s="49">
        <v>329.97</v>
      </c>
      <c r="F105" s="49">
        <f t="shared" si="10"/>
        <v>19.153030178439273</v>
      </c>
      <c r="G105" s="52">
        <f t="shared" si="11"/>
        <v>5.221105959127597E-2</v>
      </c>
      <c r="I105" s="49">
        <v>39.67</v>
      </c>
      <c r="J105" s="49">
        <v>0</v>
      </c>
      <c r="K105" s="49">
        <v>0</v>
      </c>
      <c r="L105" s="49">
        <v>0</v>
      </c>
      <c r="M105" s="49">
        <v>0</v>
      </c>
      <c r="N105" s="49">
        <v>1.2</v>
      </c>
      <c r="O105" s="49">
        <v>6.9669999999999996</v>
      </c>
      <c r="P105" s="49">
        <v>0</v>
      </c>
      <c r="Q105" s="49">
        <v>0</v>
      </c>
      <c r="R105" s="49">
        <v>2.61</v>
      </c>
      <c r="S105" s="49">
        <v>85</v>
      </c>
      <c r="T105" s="49">
        <v>71.290000000000006</v>
      </c>
    </row>
    <row r="106" spans="1:20" s="53" customFormat="1" ht="15.75" customHeight="1" x14ac:dyDescent="0.25">
      <c r="A106" s="50">
        <v>2018</v>
      </c>
      <c r="B106" s="50">
        <v>12</v>
      </c>
      <c r="C106" s="51">
        <f t="shared" si="8"/>
        <v>11.375</v>
      </c>
      <c r="D106" s="51">
        <f t="shared" si="9"/>
        <v>136.5</v>
      </c>
      <c r="E106" s="49">
        <v>329.97</v>
      </c>
      <c r="F106" s="49">
        <f t="shared" si="10"/>
        <v>29.008351648351649</v>
      </c>
      <c r="G106" s="52">
        <f t="shared" si="11"/>
        <v>3.4472830863411824E-2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68</v>
      </c>
      <c r="T106" s="49">
        <v>68.5</v>
      </c>
    </row>
    <row r="107" spans="1:20" s="53" customFormat="1" ht="15.75" customHeight="1" x14ac:dyDescent="0.25">
      <c r="A107" s="50">
        <v>2019</v>
      </c>
      <c r="B107" s="50">
        <v>12</v>
      </c>
      <c r="C107" s="51">
        <f t="shared" si="8"/>
        <v>3.5625</v>
      </c>
      <c r="D107" s="51">
        <f t="shared" si="9"/>
        <v>42.75</v>
      </c>
      <c r="E107" s="49">
        <v>329.97</v>
      </c>
      <c r="F107" s="49">
        <f t="shared" si="10"/>
        <v>92.623157894736849</v>
      </c>
      <c r="G107" s="52">
        <f t="shared" si="11"/>
        <v>1.0796436039639966E-2</v>
      </c>
      <c r="I107" s="49">
        <v>16.2</v>
      </c>
      <c r="J107" s="49">
        <v>16.25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10.3</v>
      </c>
    </row>
    <row r="108" spans="1:20" s="53" customFormat="1" ht="15.75" customHeight="1" x14ac:dyDescent="0.25">
      <c r="A108" s="50">
        <v>2020</v>
      </c>
      <c r="B108" s="50">
        <v>12</v>
      </c>
      <c r="C108" s="51">
        <f t="shared" si="8"/>
        <v>12.424999999999999</v>
      </c>
      <c r="D108" s="51">
        <f t="shared" si="9"/>
        <v>149.1</v>
      </c>
      <c r="E108" s="49">
        <v>329.97</v>
      </c>
      <c r="F108" s="49">
        <f t="shared" si="10"/>
        <v>26.5569416498994</v>
      </c>
      <c r="G108" s="52">
        <f t="shared" si="11"/>
        <v>3.7654938327726754E-2</v>
      </c>
      <c r="I108" s="49">
        <v>80</v>
      </c>
      <c r="J108" s="49">
        <v>69.099999999999994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50">
        <v>2021</v>
      </c>
      <c r="B109" s="50">
        <v>12</v>
      </c>
      <c r="C109" s="51">
        <f>D109/B109</f>
        <v>10.966666666666667</v>
      </c>
      <c r="D109" s="51">
        <f t="shared" ref="D109" si="12">SUM(I109:T109)</f>
        <v>131.6</v>
      </c>
      <c r="E109" s="49">
        <v>329.97</v>
      </c>
      <c r="F109" s="49">
        <f>E109/C109</f>
        <v>30.088449848024318</v>
      </c>
      <c r="G109" s="52">
        <f>C109/E109</f>
        <v>3.3235344627289345E-2</v>
      </c>
      <c r="I109" s="54">
        <v>41.7</v>
      </c>
      <c r="J109" s="54">
        <v>68</v>
      </c>
      <c r="K109" s="54">
        <v>21.9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2022</v>
      </c>
      <c r="B110" s="50">
        <v>12</v>
      </c>
      <c r="C110" s="51">
        <f>D110/B110</f>
        <v>9.6250000000000018</v>
      </c>
      <c r="D110" s="51">
        <f t="shared" ref="D110" si="13">SUM(I110:T110)</f>
        <v>115.50000000000001</v>
      </c>
      <c r="E110" s="49">
        <v>329.97</v>
      </c>
      <c r="F110" s="49">
        <f>E110/C110</f>
        <v>34.282597402597396</v>
      </c>
      <c r="G110" s="52">
        <f>C110/E110</f>
        <v>2.9169318422886933E-2</v>
      </c>
      <c r="I110" s="54">
        <v>41.2</v>
      </c>
      <c r="J110" s="54">
        <v>63.1</v>
      </c>
      <c r="K110" s="54">
        <v>11.2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2023</v>
      </c>
      <c r="B111" s="50">
        <v>12</v>
      </c>
      <c r="C111" s="51">
        <f>D111/B111</f>
        <v>16.333333333333332</v>
      </c>
      <c r="D111" s="51">
        <f t="shared" ref="D111" si="14">SUM(I111:T111)</f>
        <v>196</v>
      </c>
      <c r="E111" s="49">
        <v>329.97</v>
      </c>
      <c r="F111" s="49">
        <f>E111/C111</f>
        <v>20.202244897959186</v>
      </c>
      <c r="G111" s="52">
        <f>C111/E111</f>
        <v>4.9499449444899021E-2</v>
      </c>
      <c r="I111" s="54">
        <v>55.5</v>
      </c>
      <c r="J111" s="54">
        <v>82</v>
      </c>
      <c r="K111" s="54">
        <v>58.5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50">
        <v>2024</v>
      </c>
      <c r="B112" s="50">
        <v>12</v>
      </c>
      <c r="C112" s="51">
        <f>D112/B112</f>
        <v>9.698924731182796</v>
      </c>
      <c r="D112" s="51">
        <f t="shared" ref="D112" si="15">SUM(I112:T112)</f>
        <v>116.38709677419355</v>
      </c>
      <c r="E112" s="49">
        <v>329.97</v>
      </c>
      <c r="F112" s="49">
        <f>E112/C112</f>
        <v>34.021297117516632</v>
      </c>
      <c r="G112" s="52">
        <f>C112/E112</f>
        <v>2.9393353126595738E-2</v>
      </c>
      <c r="I112" s="54">
        <v>0</v>
      </c>
      <c r="J112" s="54">
        <v>82</v>
      </c>
      <c r="K112" s="54">
        <v>34.387096774193552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  <row r="113" spans="1:20" ht="15.75" customHeight="1" x14ac:dyDescent="0.25">
      <c r="A113" s="50">
        <v>2025</v>
      </c>
      <c r="B113" s="50">
        <v>12</v>
      </c>
      <c r="C113" s="51">
        <f>D113/B113</f>
        <v>15.866666666666667</v>
      </c>
      <c r="D113" s="51">
        <f t="shared" ref="D113" si="16">SUM(I113:T113)</f>
        <v>190.4</v>
      </c>
      <c r="E113" s="49">
        <v>329.97</v>
      </c>
      <c r="F113" s="49">
        <f>E113/C113</f>
        <v>20.796428571428571</v>
      </c>
      <c r="G113" s="52">
        <f>C113/E113</f>
        <v>4.8085179460759055E-2</v>
      </c>
      <c r="I113" s="54">
        <v>60.8</v>
      </c>
      <c r="J113" s="54">
        <v>82</v>
      </c>
      <c r="K113" s="54">
        <v>47.6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119"/>
  <sheetViews>
    <sheetView zoomScale="80" zoomScaleNormal="80" workbookViewId="0">
      <pane ySplit="1440" topLeftCell="A83" activePane="bottomLeft"/>
      <selection sqref="A1:XFD1048576"/>
      <selection pane="bottomLeft" activeCell="A119" sqref="A119:XFD119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1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109375" style="56" customWidth="1"/>
    <col min="18" max="18" width="10.44140625" style="56" customWidth="1"/>
    <col min="19" max="19" width="11.6640625" style="56" customWidth="1"/>
    <col min="20" max="20" width="11.5546875" style="56" customWidth="1"/>
    <col min="21" max="16384" width="9.109375" style="40"/>
  </cols>
  <sheetData>
    <row r="1" spans="1:20" ht="15" x14ac:dyDescent="0.25">
      <c r="A1" s="120" t="s">
        <v>71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1909</v>
      </c>
      <c r="B3" s="50">
        <v>12</v>
      </c>
      <c r="C3" s="51">
        <f>D3/B3</f>
        <v>55.524999999999999</v>
      </c>
      <c r="D3" s="51">
        <f>SUM(I3:T3)</f>
        <v>666.3</v>
      </c>
      <c r="E3" s="49">
        <v>361.6</v>
      </c>
      <c r="F3" s="49">
        <f>E3/C3</f>
        <v>6.5123818099954978</v>
      </c>
      <c r="G3" s="52">
        <f>C3/E3</f>
        <v>0.15355365044247787</v>
      </c>
      <c r="I3" s="49"/>
      <c r="J3" s="49"/>
      <c r="K3" s="49">
        <v>53.2</v>
      </c>
      <c r="L3" s="49">
        <v>100</v>
      </c>
      <c r="M3" s="49">
        <v>125</v>
      </c>
      <c r="N3" s="49">
        <v>35</v>
      </c>
      <c r="O3" s="49">
        <v>43.7</v>
      </c>
      <c r="P3" s="49">
        <v>55.9</v>
      </c>
      <c r="Q3" s="49">
        <v>69.3</v>
      </c>
      <c r="R3" s="49">
        <v>51</v>
      </c>
      <c r="S3" s="49">
        <v>67</v>
      </c>
      <c r="T3" s="49">
        <v>66.2</v>
      </c>
    </row>
    <row r="4" spans="1:20" s="53" customFormat="1" ht="15.75" customHeight="1" x14ac:dyDescent="0.25">
      <c r="A4" s="50">
        <v>1910</v>
      </c>
      <c r="B4" s="50">
        <v>12</v>
      </c>
      <c r="C4" s="51">
        <f t="shared" ref="C4:C67" si="0">D4/B4</f>
        <v>56.483333333333327</v>
      </c>
      <c r="D4" s="51">
        <f t="shared" ref="D4:D67" si="1">SUM(I4:T4)</f>
        <v>677.8</v>
      </c>
      <c r="E4" s="49">
        <v>361.6</v>
      </c>
      <c r="F4" s="49">
        <f t="shared" ref="F4:F67" si="2">E4/C4</f>
        <v>6.4018884626733561</v>
      </c>
      <c r="G4" s="52">
        <f t="shared" ref="G4:G67" si="3">C4/E4</f>
        <v>0.15620390855457225</v>
      </c>
      <c r="I4" s="49">
        <v>73.3</v>
      </c>
      <c r="J4" s="49">
        <v>75.8</v>
      </c>
      <c r="K4" s="49">
        <v>69.400000000000006</v>
      </c>
      <c r="L4" s="49">
        <v>44.8</v>
      </c>
      <c r="M4" s="49">
        <v>44</v>
      </c>
      <c r="N4" s="49">
        <v>76.599999999999994</v>
      </c>
      <c r="O4" s="49">
        <v>84.9</v>
      </c>
      <c r="P4" s="49">
        <v>40.700000000000003</v>
      </c>
      <c r="Q4" s="49">
        <v>44</v>
      </c>
      <c r="R4" s="49">
        <v>47</v>
      </c>
      <c r="S4" s="49">
        <v>41.4</v>
      </c>
      <c r="T4" s="49">
        <v>35.9</v>
      </c>
    </row>
    <row r="5" spans="1:20" s="53" customFormat="1" ht="15.75" customHeight="1" x14ac:dyDescent="0.25">
      <c r="A5" s="50">
        <v>1911</v>
      </c>
      <c r="B5" s="50">
        <v>12</v>
      </c>
      <c r="C5" s="51">
        <f t="shared" si="0"/>
        <v>49.158333333333331</v>
      </c>
      <c r="D5" s="51">
        <f t="shared" si="1"/>
        <v>589.9</v>
      </c>
      <c r="E5" s="49">
        <v>361.6</v>
      </c>
      <c r="F5" s="49">
        <f t="shared" si="2"/>
        <v>7.355823020850992</v>
      </c>
      <c r="G5" s="52">
        <f t="shared" si="3"/>
        <v>0.13594671828908553</v>
      </c>
      <c r="I5" s="49">
        <v>34</v>
      </c>
      <c r="J5" s="49">
        <v>29.4</v>
      </c>
      <c r="K5" s="49">
        <v>30.1</v>
      </c>
      <c r="L5" s="49">
        <v>49.8</v>
      </c>
      <c r="M5" s="49">
        <v>59.9</v>
      </c>
      <c r="N5" s="49">
        <v>109.8</v>
      </c>
      <c r="O5" s="49">
        <v>101.1</v>
      </c>
      <c r="P5" s="49">
        <v>33</v>
      </c>
      <c r="Q5" s="49">
        <v>33</v>
      </c>
      <c r="R5" s="49">
        <v>37.799999999999997</v>
      </c>
      <c r="S5" s="49">
        <v>36</v>
      </c>
      <c r="T5" s="49">
        <v>36</v>
      </c>
    </row>
    <row r="6" spans="1:20" s="53" customFormat="1" ht="15.75" customHeight="1" x14ac:dyDescent="0.25">
      <c r="A6" s="50">
        <v>1912</v>
      </c>
      <c r="B6" s="50">
        <v>12</v>
      </c>
      <c r="C6" s="51">
        <f t="shared" si="0"/>
        <v>64.616666666666674</v>
      </c>
      <c r="D6" s="51">
        <f t="shared" si="1"/>
        <v>775.40000000000009</v>
      </c>
      <c r="E6" s="49">
        <v>361.6</v>
      </c>
      <c r="F6" s="49">
        <f t="shared" si="2"/>
        <v>5.5960794428681968</v>
      </c>
      <c r="G6" s="52">
        <f t="shared" si="3"/>
        <v>0.17869653392330384</v>
      </c>
      <c r="I6" s="49">
        <v>38</v>
      </c>
      <c r="J6" s="49">
        <v>36.6</v>
      </c>
      <c r="K6" s="49">
        <v>38</v>
      </c>
      <c r="L6" s="49">
        <v>59.1</v>
      </c>
      <c r="M6" s="49">
        <v>93</v>
      </c>
      <c r="N6" s="49">
        <v>93</v>
      </c>
      <c r="O6" s="49">
        <v>93</v>
      </c>
      <c r="P6" s="49">
        <v>77</v>
      </c>
      <c r="Q6" s="49">
        <v>97</v>
      </c>
      <c r="R6" s="49">
        <v>60.5</v>
      </c>
      <c r="S6" s="49">
        <v>39.200000000000003</v>
      </c>
      <c r="T6" s="49">
        <v>51</v>
      </c>
    </row>
    <row r="7" spans="1:20" s="53" customFormat="1" ht="15.75" customHeight="1" x14ac:dyDescent="0.25">
      <c r="A7" s="50">
        <v>1913</v>
      </c>
      <c r="B7" s="50">
        <v>12</v>
      </c>
      <c r="C7" s="51">
        <f t="shared" si="0"/>
        <v>63.224999999999994</v>
      </c>
      <c r="D7" s="51">
        <f t="shared" si="1"/>
        <v>758.69999999999993</v>
      </c>
      <c r="E7" s="49">
        <v>361.6</v>
      </c>
      <c r="F7" s="49">
        <f t="shared" si="2"/>
        <v>5.7192566231712147</v>
      </c>
      <c r="G7" s="52">
        <f t="shared" si="3"/>
        <v>0.17484789823008848</v>
      </c>
      <c r="I7" s="49">
        <v>57.6</v>
      </c>
      <c r="J7" s="49">
        <v>59</v>
      </c>
      <c r="K7" s="49">
        <v>59</v>
      </c>
      <c r="L7" s="49">
        <v>63.6</v>
      </c>
      <c r="M7" s="49">
        <v>75</v>
      </c>
      <c r="N7" s="49">
        <v>101.2</v>
      </c>
      <c r="O7" s="49">
        <v>106.9</v>
      </c>
      <c r="P7" s="49">
        <v>48</v>
      </c>
      <c r="Q7" s="49">
        <v>41.9</v>
      </c>
      <c r="R7" s="49">
        <v>42.2</v>
      </c>
      <c r="S7" s="49">
        <v>49</v>
      </c>
      <c r="T7" s="49">
        <v>55.3</v>
      </c>
    </row>
    <row r="8" spans="1:20" s="53" customFormat="1" ht="15.75" customHeight="1" x14ac:dyDescent="0.25">
      <c r="A8" s="50">
        <v>1914</v>
      </c>
      <c r="B8" s="50">
        <v>12</v>
      </c>
      <c r="C8" s="51">
        <f t="shared" si="0"/>
        <v>80.291666666666671</v>
      </c>
      <c r="D8" s="51">
        <f t="shared" si="1"/>
        <v>963.5</v>
      </c>
      <c r="E8" s="49">
        <v>361.6</v>
      </c>
      <c r="F8" s="49">
        <f t="shared" si="2"/>
        <v>4.5035806953814221</v>
      </c>
      <c r="G8" s="52">
        <f t="shared" si="3"/>
        <v>0.22204553834808261</v>
      </c>
      <c r="I8" s="49">
        <v>65.900000000000006</v>
      </c>
      <c r="J8" s="49">
        <v>71.5</v>
      </c>
      <c r="K8" s="49">
        <v>81.599999999999994</v>
      </c>
      <c r="L8" s="49">
        <v>118.3</v>
      </c>
      <c r="M8" s="49">
        <v>127.8</v>
      </c>
      <c r="N8" s="49">
        <v>95.6</v>
      </c>
      <c r="O8" s="49">
        <v>99.7</v>
      </c>
      <c r="P8" s="49">
        <v>37.799999999999997</v>
      </c>
      <c r="Q8" s="49">
        <v>38</v>
      </c>
      <c r="R8" s="49">
        <v>65.5</v>
      </c>
      <c r="S8" s="49">
        <v>77</v>
      </c>
      <c r="T8" s="49">
        <v>84.8</v>
      </c>
    </row>
    <row r="9" spans="1:20" s="53" customFormat="1" ht="15.75" customHeight="1" x14ac:dyDescent="0.25">
      <c r="A9" s="50">
        <v>1915</v>
      </c>
      <c r="B9" s="50">
        <v>12</v>
      </c>
      <c r="C9" s="51">
        <f t="shared" si="0"/>
        <v>60.858333333333327</v>
      </c>
      <c r="D9" s="51">
        <f t="shared" si="1"/>
        <v>730.3</v>
      </c>
      <c r="E9" s="49">
        <v>361.6</v>
      </c>
      <c r="F9" s="49">
        <f t="shared" si="2"/>
        <v>5.9416678077502407</v>
      </c>
      <c r="G9" s="52">
        <f t="shared" si="3"/>
        <v>0.16830291297935102</v>
      </c>
      <c r="I9" s="49">
        <v>87</v>
      </c>
      <c r="J9" s="49">
        <v>80</v>
      </c>
      <c r="K9" s="49">
        <v>80</v>
      </c>
      <c r="L9" s="49">
        <v>80</v>
      </c>
      <c r="M9" s="49">
        <v>80</v>
      </c>
      <c r="N9" s="49">
        <v>73</v>
      </c>
      <c r="O9" s="49">
        <v>73</v>
      </c>
      <c r="P9" s="49">
        <v>59.9</v>
      </c>
      <c r="Q9" s="49">
        <v>15</v>
      </c>
      <c r="R9" s="49">
        <v>15</v>
      </c>
      <c r="S9" s="49">
        <v>15.8</v>
      </c>
      <c r="T9" s="49">
        <v>71.599999999999994</v>
      </c>
    </row>
    <row r="10" spans="1:20" s="53" customFormat="1" ht="15.75" customHeight="1" x14ac:dyDescent="0.25">
      <c r="A10" s="50">
        <v>1916</v>
      </c>
      <c r="B10" s="50">
        <v>12</v>
      </c>
      <c r="C10" s="51">
        <f t="shared" si="0"/>
        <v>59.966666666666647</v>
      </c>
      <c r="D10" s="51">
        <f t="shared" si="1"/>
        <v>719.5999999999998</v>
      </c>
      <c r="E10" s="49">
        <v>361.6</v>
      </c>
      <c r="F10" s="49">
        <f t="shared" si="2"/>
        <v>6.0300166759310754</v>
      </c>
      <c r="G10" s="52">
        <f t="shared" si="3"/>
        <v>0.16583702064896749</v>
      </c>
      <c r="I10" s="49">
        <v>64.400000000000006</v>
      </c>
      <c r="J10" s="49">
        <v>57.2</v>
      </c>
      <c r="K10" s="49">
        <v>69.8</v>
      </c>
      <c r="L10" s="49">
        <v>64.099999999999994</v>
      </c>
      <c r="M10" s="49">
        <v>98.9</v>
      </c>
      <c r="N10" s="49">
        <v>112</v>
      </c>
      <c r="O10" s="49">
        <v>98.3</v>
      </c>
      <c r="P10" s="49">
        <v>25.8</v>
      </c>
      <c r="Q10" s="49">
        <v>29.3</v>
      </c>
      <c r="R10" s="49">
        <v>26.3</v>
      </c>
      <c r="S10" s="49">
        <v>35.6</v>
      </c>
      <c r="T10" s="49">
        <v>37.9</v>
      </c>
    </row>
    <row r="11" spans="1:20" s="53" customFormat="1" ht="15.75" customHeight="1" x14ac:dyDescent="0.25">
      <c r="A11" s="50">
        <v>1917</v>
      </c>
      <c r="B11" s="50">
        <v>12</v>
      </c>
      <c r="C11" s="51">
        <f t="shared" si="0"/>
        <v>54.083333333333336</v>
      </c>
      <c r="D11" s="51">
        <f t="shared" si="1"/>
        <v>649</v>
      </c>
      <c r="E11" s="49">
        <v>361.6</v>
      </c>
      <c r="F11" s="49">
        <f t="shared" si="2"/>
        <v>6.6859784283513095</v>
      </c>
      <c r="G11" s="52">
        <f t="shared" si="3"/>
        <v>0.14956674041297935</v>
      </c>
      <c r="I11" s="49">
        <v>47.8</v>
      </c>
      <c r="J11" s="49">
        <v>55.8</v>
      </c>
      <c r="K11" s="49">
        <v>66.599999999999994</v>
      </c>
      <c r="L11" s="49">
        <v>89.4</v>
      </c>
      <c r="M11" s="49">
        <v>99.7</v>
      </c>
      <c r="N11" s="49">
        <v>90.1</v>
      </c>
      <c r="O11" s="49">
        <v>85.9</v>
      </c>
      <c r="P11" s="49">
        <v>10</v>
      </c>
      <c r="Q11" s="49">
        <v>10</v>
      </c>
      <c r="R11" s="49">
        <v>14.1</v>
      </c>
      <c r="S11" s="49">
        <v>34</v>
      </c>
      <c r="T11" s="49">
        <v>45.6</v>
      </c>
    </row>
    <row r="12" spans="1:20" s="53" customFormat="1" ht="15.75" customHeight="1" x14ac:dyDescent="0.25">
      <c r="A12" s="50">
        <v>1918</v>
      </c>
      <c r="B12" s="50">
        <v>12</v>
      </c>
      <c r="C12" s="51">
        <f t="shared" si="0"/>
        <v>37.033333333333339</v>
      </c>
      <c r="D12" s="51">
        <f t="shared" si="1"/>
        <v>444.40000000000003</v>
      </c>
      <c r="E12" s="49">
        <v>361.6</v>
      </c>
      <c r="F12" s="49">
        <f t="shared" si="2"/>
        <v>9.7641764176417638</v>
      </c>
      <c r="G12" s="52">
        <f t="shared" si="3"/>
        <v>0.10241519174041298</v>
      </c>
      <c r="I12" s="49">
        <v>48.3</v>
      </c>
      <c r="J12" s="49">
        <v>49</v>
      </c>
      <c r="K12" s="49">
        <v>49</v>
      </c>
      <c r="L12" s="49">
        <v>49</v>
      </c>
      <c r="M12" s="49">
        <v>54.4</v>
      </c>
      <c r="N12" s="49">
        <v>76</v>
      </c>
      <c r="O12" s="49">
        <v>81.400000000000006</v>
      </c>
      <c r="P12" s="49">
        <v>7</v>
      </c>
      <c r="Q12" s="49">
        <v>7</v>
      </c>
      <c r="R12" s="49">
        <v>7</v>
      </c>
      <c r="S12" s="49">
        <v>7</v>
      </c>
      <c r="T12" s="49">
        <v>9.3000000000000007</v>
      </c>
    </row>
    <row r="13" spans="1:20" s="53" customFormat="1" ht="15.75" customHeight="1" x14ac:dyDescent="0.25">
      <c r="A13" s="50">
        <v>1919</v>
      </c>
      <c r="B13" s="50">
        <v>12</v>
      </c>
      <c r="C13" s="51">
        <f t="shared" si="0"/>
        <v>31.958333333333332</v>
      </c>
      <c r="D13" s="51">
        <f t="shared" si="1"/>
        <v>383.5</v>
      </c>
      <c r="E13" s="49">
        <v>361.6</v>
      </c>
      <c r="F13" s="49">
        <f t="shared" si="2"/>
        <v>11.314732724902218</v>
      </c>
      <c r="G13" s="52">
        <f t="shared" si="3"/>
        <v>8.8380346607669608E-2</v>
      </c>
      <c r="I13" s="49">
        <v>27.4</v>
      </c>
      <c r="J13" s="49">
        <v>28</v>
      </c>
      <c r="K13" s="49">
        <v>49</v>
      </c>
      <c r="L13" s="49">
        <v>49</v>
      </c>
      <c r="M13" s="49">
        <v>49</v>
      </c>
      <c r="N13" s="49">
        <v>61.1</v>
      </c>
      <c r="O13" s="49">
        <v>35.700000000000003</v>
      </c>
      <c r="P13" s="49">
        <v>10</v>
      </c>
      <c r="Q13" s="49">
        <v>10</v>
      </c>
      <c r="R13" s="49">
        <v>11.3</v>
      </c>
      <c r="S13" s="49">
        <v>21.9</v>
      </c>
      <c r="T13" s="49">
        <v>31.1</v>
      </c>
    </row>
    <row r="14" spans="1:20" s="53" customFormat="1" ht="15.75" customHeight="1" x14ac:dyDescent="0.25">
      <c r="A14" s="50">
        <v>1920</v>
      </c>
      <c r="B14" s="50">
        <v>12</v>
      </c>
      <c r="C14" s="51">
        <f t="shared" si="0"/>
        <v>76.191666666666677</v>
      </c>
      <c r="D14" s="51">
        <f t="shared" si="1"/>
        <v>914.30000000000007</v>
      </c>
      <c r="E14" s="49">
        <v>361.6</v>
      </c>
      <c r="F14" s="49">
        <f t="shared" si="2"/>
        <v>4.7459258449086725</v>
      </c>
      <c r="G14" s="52">
        <f t="shared" si="3"/>
        <v>0.21070704277286137</v>
      </c>
      <c r="I14" s="49">
        <v>37</v>
      </c>
      <c r="J14" s="49">
        <v>40.9</v>
      </c>
      <c r="K14" s="49">
        <v>75.400000000000006</v>
      </c>
      <c r="L14" s="49">
        <v>107.4</v>
      </c>
      <c r="M14" s="49">
        <v>106</v>
      </c>
      <c r="N14" s="49">
        <v>82.3</v>
      </c>
      <c r="O14" s="49">
        <v>131.30000000000001</v>
      </c>
      <c r="P14" s="49">
        <v>89</v>
      </c>
      <c r="Q14" s="49">
        <v>89</v>
      </c>
      <c r="R14" s="49">
        <v>52</v>
      </c>
      <c r="S14" s="49">
        <v>52</v>
      </c>
      <c r="T14" s="49">
        <v>52</v>
      </c>
    </row>
    <row r="15" spans="1:20" s="53" customFormat="1" ht="15.75" customHeight="1" x14ac:dyDescent="0.25">
      <c r="A15" s="50">
        <v>1921</v>
      </c>
      <c r="B15" s="50">
        <v>12</v>
      </c>
      <c r="C15" s="51">
        <f t="shared" si="0"/>
        <v>52.241666666666674</v>
      </c>
      <c r="D15" s="51">
        <f t="shared" si="1"/>
        <v>626.90000000000009</v>
      </c>
      <c r="E15" s="49">
        <v>361.6</v>
      </c>
      <c r="F15" s="49">
        <f t="shared" si="2"/>
        <v>6.9216780985803155</v>
      </c>
      <c r="G15" s="52">
        <f t="shared" si="3"/>
        <v>0.14447363569321536</v>
      </c>
      <c r="I15" s="49">
        <v>52</v>
      </c>
      <c r="J15" s="49">
        <v>52</v>
      </c>
      <c r="K15" s="49">
        <v>51.2</v>
      </c>
      <c r="L15" s="49">
        <v>48.3</v>
      </c>
      <c r="M15" s="49">
        <v>69.099999999999994</v>
      </c>
      <c r="N15" s="49">
        <v>78.7</v>
      </c>
      <c r="O15" s="49">
        <v>125</v>
      </c>
      <c r="P15" s="49">
        <v>41.5</v>
      </c>
      <c r="Q15" s="49">
        <v>21.2</v>
      </c>
      <c r="R15" s="49">
        <v>21</v>
      </c>
      <c r="S15" s="49">
        <v>33.700000000000003</v>
      </c>
      <c r="T15" s="49">
        <v>33.200000000000003</v>
      </c>
    </row>
    <row r="16" spans="1:20" s="53" customFormat="1" ht="15.75" customHeight="1" x14ac:dyDescent="0.25">
      <c r="A16" s="50">
        <v>1922</v>
      </c>
      <c r="B16" s="50">
        <v>12</v>
      </c>
      <c r="C16" s="51">
        <f t="shared" si="0"/>
        <v>60.308333333333337</v>
      </c>
      <c r="D16" s="51">
        <f t="shared" si="1"/>
        <v>723.7</v>
      </c>
      <c r="E16" s="49">
        <v>361.6</v>
      </c>
      <c r="F16" s="49">
        <f t="shared" si="2"/>
        <v>5.9958546358988531</v>
      </c>
      <c r="G16" s="52">
        <f t="shared" si="3"/>
        <v>0.16678189528023599</v>
      </c>
      <c r="I16" s="49">
        <v>51</v>
      </c>
      <c r="J16" s="49">
        <v>51</v>
      </c>
      <c r="K16" s="49">
        <v>46.8</v>
      </c>
      <c r="L16" s="49">
        <v>52</v>
      </c>
      <c r="M16" s="49">
        <v>62</v>
      </c>
      <c r="N16" s="49">
        <v>95</v>
      </c>
      <c r="O16" s="49">
        <v>120</v>
      </c>
      <c r="P16" s="49">
        <v>78.7</v>
      </c>
      <c r="Q16" s="49">
        <v>52.8</v>
      </c>
      <c r="R16" s="49">
        <v>55.1</v>
      </c>
      <c r="S16" s="49">
        <v>28.6</v>
      </c>
      <c r="T16" s="49">
        <v>30.7</v>
      </c>
    </row>
    <row r="17" spans="1:20" s="53" customFormat="1" ht="15.75" customHeight="1" x14ac:dyDescent="0.25">
      <c r="A17" s="50">
        <v>1923</v>
      </c>
      <c r="B17" s="50">
        <v>12</v>
      </c>
      <c r="C17" s="51">
        <f t="shared" si="0"/>
        <v>43.116666666666667</v>
      </c>
      <c r="D17" s="51">
        <f t="shared" si="1"/>
        <v>517.4</v>
      </c>
      <c r="E17" s="49">
        <v>361.6</v>
      </c>
      <c r="F17" s="49">
        <f t="shared" si="2"/>
        <v>8.3865481252415925</v>
      </c>
      <c r="G17" s="52">
        <f t="shared" si="3"/>
        <v>0.11923856932153391</v>
      </c>
      <c r="I17" s="49">
        <v>41.2</v>
      </c>
      <c r="J17" s="49">
        <v>45</v>
      </c>
      <c r="K17" s="49">
        <v>48</v>
      </c>
      <c r="L17" s="49">
        <v>48</v>
      </c>
      <c r="M17" s="49">
        <v>49.6</v>
      </c>
      <c r="N17" s="49">
        <v>57.6</v>
      </c>
      <c r="O17" s="49">
        <v>53.8</v>
      </c>
      <c r="P17" s="49">
        <v>30</v>
      </c>
      <c r="Q17" s="49">
        <v>30</v>
      </c>
      <c r="R17" s="49">
        <v>33.5</v>
      </c>
      <c r="S17" s="49">
        <v>46.8</v>
      </c>
      <c r="T17" s="49">
        <v>33.9</v>
      </c>
    </row>
    <row r="18" spans="1:20" s="53" customFormat="1" ht="15.75" customHeight="1" x14ac:dyDescent="0.25">
      <c r="A18" s="50">
        <v>1924</v>
      </c>
      <c r="B18" s="50">
        <v>12</v>
      </c>
      <c r="C18" s="51">
        <f t="shared" si="0"/>
        <v>20.091666666666665</v>
      </c>
      <c r="D18" s="51">
        <f t="shared" si="1"/>
        <v>241.1</v>
      </c>
      <c r="E18" s="49">
        <v>361.6</v>
      </c>
      <c r="F18" s="49">
        <f t="shared" si="2"/>
        <v>17.99751140605558</v>
      </c>
      <c r="G18" s="52">
        <f t="shared" si="3"/>
        <v>5.5563237463126837E-2</v>
      </c>
      <c r="I18" s="49">
        <v>35.4</v>
      </c>
      <c r="J18" s="49">
        <v>36.6</v>
      </c>
      <c r="K18" s="49">
        <v>41.7</v>
      </c>
      <c r="L18" s="49">
        <v>46</v>
      </c>
      <c r="M18" s="49">
        <v>46</v>
      </c>
      <c r="N18" s="49">
        <v>35.4</v>
      </c>
      <c r="O18" s="49"/>
      <c r="P18" s="49"/>
      <c r="Q18" s="49"/>
      <c r="R18" s="49"/>
      <c r="S18" s="49"/>
      <c r="T18" s="49"/>
    </row>
    <row r="19" spans="1:20" s="53" customFormat="1" ht="15.75" customHeight="1" x14ac:dyDescent="0.25">
      <c r="A19" s="50">
        <v>1925</v>
      </c>
      <c r="B19" s="50">
        <v>12</v>
      </c>
      <c r="C19" s="51">
        <f t="shared" si="0"/>
        <v>28.450000000000003</v>
      </c>
      <c r="D19" s="51">
        <f t="shared" si="1"/>
        <v>341.40000000000003</v>
      </c>
      <c r="E19" s="49">
        <v>361.6</v>
      </c>
      <c r="F19" s="49">
        <f t="shared" si="2"/>
        <v>12.710017574692442</v>
      </c>
      <c r="G19" s="52">
        <f t="shared" si="3"/>
        <v>7.8678097345132744E-2</v>
      </c>
      <c r="I19" s="49"/>
      <c r="J19" s="49"/>
      <c r="K19" s="49"/>
      <c r="L19" s="49"/>
      <c r="M19" s="49"/>
      <c r="N19" s="49"/>
      <c r="O19" s="49">
        <v>59.2</v>
      </c>
      <c r="P19" s="49">
        <v>55</v>
      </c>
      <c r="Q19" s="49">
        <v>55</v>
      </c>
      <c r="R19" s="49">
        <v>53.3</v>
      </c>
      <c r="S19" s="49">
        <v>58.8</v>
      </c>
      <c r="T19" s="49">
        <v>60.1</v>
      </c>
    </row>
    <row r="20" spans="1:20" s="53" customFormat="1" ht="15.75" customHeight="1" x14ac:dyDescent="0.25">
      <c r="A20" s="50">
        <v>1926</v>
      </c>
      <c r="B20" s="50">
        <v>12</v>
      </c>
      <c r="C20" s="51">
        <f t="shared" si="0"/>
        <v>47.808333333333337</v>
      </c>
      <c r="D20" s="51">
        <f t="shared" si="1"/>
        <v>573.70000000000005</v>
      </c>
      <c r="E20" s="49">
        <v>361.6</v>
      </c>
      <c r="F20" s="49">
        <f t="shared" si="2"/>
        <v>7.563534948579397</v>
      </c>
      <c r="G20" s="52">
        <f t="shared" si="3"/>
        <v>0.13221331120943952</v>
      </c>
      <c r="I20" s="49">
        <v>58.7</v>
      </c>
      <c r="J20" s="49">
        <v>54.2</v>
      </c>
      <c r="K20" s="49">
        <v>46.5</v>
      </c>
      <c r="L20" s="49">
        <v>49.4</v>
      </c>
      <c r="M20" s="49">
        <v>58</v>
      </c>
      <c r="N20" s="49">
        <v>41.6</v>
      </c>
      <c r="O20" s="49">
        <v>40.5</v>
      </c>
      <c r="P20" s="49">
        <v>44</v>
      </c>
      <c r="Q20" s="49">
        <v>48</v>
      </c>
      <c r="R20" s="49">
        <v>48</v>
      </c>
      <c r="S20" s="49">
        <v>44.5</v>
      </c>
      <c r="T20" s="49">
        <v>40.299999999999997</v>
      </c>
    </row>
    <row r="21" spans="1:20" s="53" customFormat="1" ht="15.75" customHeight="1" x14ac:dyDescent="0.25">
      <c r="A21" s="50">
        <v>1927</v>
      </c>
      <c r="B21" s="50">
        <v>12</v>
      </c>
      <c r="C21" s="51">
        <f t="shared" si="0"/>
        <v>42.366666666666667</v>
      </c>
      <c r="D21" s="51">
        <f t="shared" si="1"/>
        <v>508.4</v>
      </c>
      <c r="E21" s="49">
        <v>361.6</v>
      </c>
      <c r="F21" s="49">
        <f t="shared" si="2"/>
        <v>8.5350118017309207</v>
      </c>
      <c r="G21" s="52">
        <f t="shared" si="3"/>
        <v>0.11716445427728613</v>
      </c>
      <c r="I21" s="49">
        <v>36</v>
      </c>
      <c r="J21" s="49">
        <v>37</v>
      </c>
      <c r="K21" s="49">
        <v>38.1</v>
      </c>
      <c r="L21" s="49">
        <v>48.3</v>
      </c>
      <c r="M21" s="49">
        <v>61.9</v>
      </c>
      <c r="N21" s="49">
        <v>47.2</v>
      </c>
      <c r="O21" s="49">
        <v>45</v>
      </c>
      <c r="P21" s="49">
        <v>38.9</v>
      </c>
      <c r="Q21" s="49">
        <v>39</v>
      </c>
      <c r="R21" s="49">
        <v>39</v>
      </c>
      <c r="S21" s="49">
        <v>39</v>
      </c>
      <c r="T21" s="49">
        <v>39</v>
      </c>
    </row>
    <row r="22" spans="1:20" s="53" customFormat="1" ht="15.75" customHeight="1" x14ac:dyDescent="0.25">
      <c r="A22" s="50">
        <v>1928</v>
      </c>
      <c r="B22" s="50">
        <v>12</v>
      </c>
      <c r="C22" s="51">
        <f t="shared" si="0"/>
        <v>33.699999999999996</v>
      </c>
      <c r="D22" s="51">
        <f t="shared" si="1"/>
        <v>404.4</v>
      </c>
      <c r="E22" s="49">
        <v>361.6</v>
      </c>
      <c r="F22" s="49">
        <f t="shared" si="2"/>
        <v>10.729970326409498</v>
      </c>
      <c r="G22" s="52">
        <f t="shared" si="3"/>
        <v>9.3196902654867242E-2</v>
      </c>
      <c r="I22" s="49">
        <v>28.7</v>
      </c>
      <c r="J22" s="49">
        <v>23.4</v>
      </c>
      <c r="K22" s="49">
        <v>29.3</v>
      </c>
      <c r="L22" s="49">
        <v>41</v>
      </c>
      <c r="M22" s="49">
        <v>37.4</v>
      </c>
      <c r="N22" s="49">
        <v>29.8</v>
      </c>
      <c r="O22" s="49">
        <v>34.4</v>
      </c>
      <c r="P22" s="49">
        <v>35</v>
      </c>
      <c r="Q22" s="49">
        <v>35</v>
      </c>
      <c r="R22" s="49">
        <v>35</v>
      </c>
      <c r="S22" s="49">
        <v>35</v>
      </c>
      <c r="T22" s="49">
        <v>40.4</v>
      </c>
    </row>
    <row r="23" spans="1:20" s="53" customFormat="1" ht="15.75" customHeight="1" x14ac:dyDescent="0.25">
      <c r="A23" s="50">
        <v>1929</v>
      </c>
      <c r="B23" s="50">
        <v>12</v>
      </c>
      <c r="C23" s="51">
        <f t="shared" si="0"/>
        <v>39.524999999999999</v>
      </c>
      <c r="D23" s="51">
        <f t="shared" si="1"/>
        <v>474.29999999999995</v>
      </c>
      <c r="E23" s="49">
        <v>361.6</v>
      </c>
      <c r="F23" s="49">
        <f t="shared" si="2"/>
        <v>9.1486401012017726</v>
      </c>
      <c r="G23" s="52">
        <f t="shared" si="3"/>
        <v>0.10930586283185839</v>
      </c>
      <c r="I23" s="49">
        <v>24.6</v>
      </c>
      <c r="J23" s="49">
        <v>29.7</v>
      </c>
      <c r="K23" s="49">
        <v>44.9</v>
      </c>
      <c r="L23" s="49">
        <v>52.1</v>
      </c>
      <c r="M23" s="49">
        <v>59.9</v>
      </c>
      <c r="N23" s="49">
        <v>63.6</v>
      </c>
      <c r="O23" s="49">
        <v>61.2</v>
      </c>
      <c r="P23" s="49">
        <v>27.9</v>
      </c>
      <c r="Q23" s="49">
        <v>21.7</v>
      </c>
      <c r="R23" s="49">
        <v>22.3</v>
      </c>
      <c r="S23" s="49">
        <v>44</v>
      </c>
      <c r="T23" s="49">
        <v>22.4</v>
      </c>
    </row>
    <row r="24" spans="1:20" s="53" customFormat="1" ht="15.75" customHeight="1" x14ac:dyDescent="0.25">
      <c r="A24" s="50">
        <v>1930</v>
      </c>
      <c r="B24" s="50">
        <v>12</v>
      </c>
      <c r="C24" s="51">
        <f t="shared" si="0"/>
        <v>32.924999999999997</v>
      </c>
      <c r="D24" s="51">
        <f t="shared" si="1"/>
        <v>395.09999999999997</v>
      </c>
      <c r="E24" s="49">
        <v>361.6</v>
      </c>
      <c r="F24" s="49">
        <f t="shared" si="2"/>
        <v>10.982536066818529</v>
      </c>
      <c r="G24" s="52">
        <f t="shared" si="3"/>
        <v>9.105365044247786E-2</v>
      </c>
      <c r="I24" s="49">
        <v>22</v>
      </c>
      <c r="J24" s="49">
        <v>22</v>
      </c>
      <c r="K24" s="49">
        <v>45.9</v>
      </c>
      <c r="L24" s="49">
        <v>37.299999999999997</v>
      </c>
      <c r="M24" s="49">
        <v>43</v>
      </c>
      <c r="N24" s="49">
        <v>43</v>
      </c>
      <c r="O24" s="49">
        <v>32.6</v>
      </c>
      <c r="P24" s="49">
        <v>23</v>
      </c>
      <c r="Q24" s="49">
        <v>23</v>
      </c>
      <c r="R24" s="49">
        <v>33.1</v>
      </c>
      <c r="S24" s="49">
        <v>32.4</v>
      </c>
      <c r="T24" s="49">
        <v>37.799999999999997</v>
      </c>
    </row>
    <row r="25" spans="1:20" s="53" customFormat="1" ht="15.75" customHeight="1" x14ac:dyDescent="0.25">
      <c r="A25" s="50">
        <v>1931</v>
      </c>
      <c r="B25" s="50">
        <v>12</v>
      </c>
      <c r="C25" s="51">
        <f t="shared" si="0"/>
        <v>51.741666666666674</v>
      </c>
      <c r="D25" s="51">
        <f t="shared" si="1"/>
        <v>620.90000000000009</v>
      </c>
      <c r="E25" s="49">
        <v>361.6</v>
      </c>
      <c r="F25" s="49">
        <f t="shared" si="2"/>
        <v>6.9885649863101946</v>
      </c>
      <c r="G25" s="52">
        <f t="shared" si="3"/>
        <v>0.1430908923303835</v>
      </c>
      <c r="I25" s="49">
        <v>48</v>
      </c>
      <c r="J25" s="49">
        <v>53.6</v>
      </c>
      <c r="K25" s="49">
        <v>53</v>
      </c>
      <c r="L25" s="49">
        <v>67.2</v>
      </c>
      <c r="M25" s="49">
        <v>75</v>
      </c>
      <c r="N25" s="49">
        <v>74.3</v>
      </c>
      <c r="O25" s="49">
        <v>43.8</v>
      </c>
      <c r="P25" s="49">
        <v>41</v>
      </c>
      <c r="Q25" s="49">
        <v>41</v>
      </c>
      <c r="R25" s="49">
        <v>43.5</v>
      </c>
      <c r="S25" s="49">
        <v>38.6</v>
      </c>
      <c r="T25" s="49">
        <v>41.9</v>
      </c>
    </row>
    <row r="26" spans="1:20" s="53" customFormat="1" ht="15.75" customHeight="1" x14ac:dyDescent="0.25">
      <c r="A26" s="50">
        <v>1932</v>
      </c>
      <c r="B26" s="50">
        <v>12</v>
      </c>
      <c r="C26" s="51">
        <f t="shared" si="0"/>
        <v>49.233333333333341</v>
      </c>
      <c r="D26" s="51">
        <f t="shared" si="1"/>
        <v>590.80000000000007</v>
      </c>
      <c r="E26" s="49">
        <v>361.6</v>
      </c>
      <c r="F26" s="49">
        <f t="shared" si="2"/>
        <v>7.3446174678402159</v>
      </c>
      <c r="G26" s="52">
        <f t="shared" si="3"/>
        <v>0.13615412979351033</v>
      </c>
      <c r="I26" s="49">
        <v>33.5</v>
      </c>
      <c r="J26" s="49">
        <v>37.9</v>
      </c>
      <c r="K26" s="49">
        <v>46.4</v>
      </c>
      <c r="L26" s="49">
        <v>57</v>
      </c>
      <c r="M26" s="49">
        <v>73.3</v>
      </c>
      <c r="N26" s="49">
        <v>79</v>
      </c>
      <c r="O26" s="49">
        <v>47.5</v>
      </c>
      <c r="P26" s="49">
        <v>29.2</v>
      </c>
      <c r="Q26" s="49">
        <v>26</v>
      </c>
      <c r="R26" s="49">
        <v>38.799999999999997</v>
      </c>
      <c r="S26" s="49">
        <v>63.2</v>
      </c>
      <c r="T26" s="49">
        <v>59</v>
      </c>
    </row>
    <row r="27" spans="1:20" s="53" customFormat="1" ht="15.75" customHeight="1" x14ac:dyDescent="0.25">
      <c r="A27" s="50">
        <v>1933</v>
      </c>
      <c r="B27" s="50">
        <v>12</v>
      </c>
      <c r="C27" s="51">
        <f t="shared" si="0"/>
        <v>31.650000000000002</v>
      </c>
      <c r="D27" s="51">
        <f t="shared" si="1"/>
        <v>379.8</v>
      </c>
      <c r="E27" s="49">
        <v>361.6</v>
      </c>
      <c r="F27" s="49">
        <f t="shared" si="2"/>
        <v>11.424960505529226</v>
      </c>
      <c r="G27" s="52">
        <f t="shared" si="3"/>
        <v>8.7527654867256638E-2</v>
      </c>
      <c r="I27" s="49">
        <v>30.4</v>
      </c>
      <c r="J27" s="49">
        <v>20.3</v>
      </c>
      <c r="K27" s="49">
        <v>21.7</v>
      </c>
      <c r="L27" s="49">
        <v>52.8</v>
      </c>
      <c r="M27" s="49">
        <v>36.9</v>
      </c>
      <c r="N27" s="49">
        <v>41</v>
      </c>
      <c r="O27" s="49">
        <v>32.6</v>
      </c>
      <c r="P27" s="49">
        <v>25</v>
      </c>
      <c r="Q27" s="49">
        <v>26</v>
      </c>
      <c r="R27" s="49">
        <v>29.6</v>
      </c>
      <c r="S27" s="49">
        <v>32.700000000000003</v>
      </c>
      <c r="T27" s="49">
        <v>30.8</v>
      </c>
    </row>
    <row r="28" spans="1:20" s="53" customFormat="1" ht="15.75" customHeight="1" x14ac:dyDescent="0.25">
      <c r="A28" s="50">
        <v>1934</v>
      </c>
      <c r="B28" s="50">
        <v>12</v>
      </c>
      <c r="C28" s="51">
        <f t="shared" si="0"/>
        <v>50.366666666666653</v>
      </c>
      <c r="D28" s="51">
        <f t="shared" si="1"/>
        <v>604.39999999999986</v>
      </c>
      <c r="E28" s="49">
        <v>361.6</v>
      </c>
      <c r="F28" s="49">
        <f t="shared" si="2"/>
        <v>7.1793514228987449</v>
      </c>
      <c r="G28" s="52">
        <f t="shared" si="3"/>
        <v>0.13928834808259583</v>
      </c>
      <c r="I28" s="49">
        <v>54</v>
      </c>
      <c r="J28" s="49">
        <v>50.5</v>
      </c>
      <c r="K28" s="49">
        <v>68.099999999999994</v>
      </c>
      <c r="L28" s="49">
        <v>76</v>
      </c>
      <c r="M28" s="49">
        <v>68.599999999999994</v>
      </c>
      <c r="N28" s="49">
        <v>72</v>
      </c>
      <c r="O28" s="49">
        <v>71.5</v>
      </c>
      <c r="P28" s="49">
        <v>34.1</v>
      </c>
      <c r="Q28" s="49">
        <v>23</v>
      </c>
      <c r="R28" s="49">
        <v>23</v>
      </c>
      <c r="S28" s="49">
        <v>25.8</v>
      </c>
      <c r="T28" s="49">
        <v>37.799999999999997</v>
      </c>
    </row>
    <row r="29" spans="1:20" s="53" customFormat="1" ht="15.75" customHeight="1" x14ac:dyDescent="0.25">
      <c r="A29" s="50">
        <v>1935</v>
      </c>
      <c r="B29" s="50">
        <v>12</v>
      </c>
      <c r="C29" s="51">
        <f t="shared" si="0"/>
        <v>28.616666666666671</v>
      </c>
      <c r="D29" s="51">
        <f t="shared" si="1"/>
        <v>343.40000000000003</v>
      </c>
      <c r="E29" s="49">
        <v>361.6</v>
      </c>
      <c r="F29" s="49">
        <f t="shared" si="2"/>
        <v>12.635993011065812</v>
      </c>
      <c r="G29" s="52">
        <f t="shared" si="3"/>
        <v>7.9139011799410033E-2</v>
      </c>
      <c r="I29" s="49">
        <v>32.200000000000003</v>
      </c>
      <c r="J29" s="49">
        <v>27</v>
      </c>
      <c r="K29" s="49">
        <v>31.8</v>
      </c>
      <c r="L29" s="49">
        <v>48.4</v>
      </c>
      <c r="M29" s="49">
        <v>34</v>
      </c>
      <c r="N29" s="49">
        <v>31.9</v>
      </c>
      <c r="O29" s="49">
        <v>28.2</v>
      </c>
      <c r="P29" s="49">
        <v>16</v>
      </c>
      <c r="Q29" s="49">
        <v>16</v>
      </c>
      <c r="R29" s="49">
        <v>33.799999999999997</v>
      </c>
      <c r="S29" s="49">
        <v>25.3</v>
      </c>
      <c r="T29" s="49">
        <v>18.8</v>
      </c>
    </row>
    <row r="30" spans="1:20" s="53" customFormat="1" ht="15.75" customHeight="1" x14ac:dyDescent="0.25">
      <c r="A30" s="50">
        <v>1936</v>
      </c>
      <c r="B30" s="50">
        <v>12</v>
      </c>
      <c r="C30" s="51">
        <f t="shared" si="0"/>
        <v>35.80833333333333</v>
      </c>
      <c r="D30" s="51">
        <f t="shared" si="1"/>
        <v>429.7</v>
      </c>
      <c r="E30" s="49">
        <v>361.6</v>
      </c>
      <c r="F30" s="49">
        <f t="shared" si="2"/>
        <v>10.098208052129394</v>
      </c>
      <c r="G30" s="52">
        <f t="shared" si="3"/>
        <v>9.902747050147491E-2</v>
      </c>
      <c r="I30" s="49">
        <v>19.899999999999999</v>
      </c>
      <c r="J30" s="49">
        <v>24</v>
      </c>
      <c r="K30" s="49">
        <v>33.9</v>
      </c>
      <c r="L30" s="49">
        <v>51.6</v>
      </c>
      <c r="M30" s="49">
        <v>52.6</v>
      </c>
      <c r="N30" s="49">
        <v>51</v>
      </c>
      <c r="O30" s="49">
        <v>45.5</v>
      </c>
      <c r="P30" s="49">
        <v>27.1</v>
      </c>
      <c r="Q30" s="49">
        <v>21</v>
      </c>
      <c r="R30" s="49">
        <v>41.2</v>
      </c>
      <c r="S30" s="49">
        <v>32.9</v>
      </c>
      <c r="T30" s="49">
        <v>29</v>
      </c>
    </row>
    <row r="31" spans="1:20" s="53" customFormat="1" ht="15.75" customHeight="1" x14ac:dyDescent="0.25">
      <c r="A31" s="50">
        <v>1937</v>
      </c>
      <c r="B31" s="50">
        <v>12</v>
      </c>
      <c r="C31" s="51">
        <f t="shared" si="0"/>
        <v>42.400000000000006</v>
      </c>
      <c r="D31" s="51">
        <f t="shared" si="1"/>
        <v>508.80000000000007</v>
      </c>
      <c r="E31" s="49">
        <v>361.6</v>
      </c>
      <c r="F31" s="49">
        <f t="shared" si="2"/>
        <v>8.5283018867924518</v>
      </c>
      <c r="G31" s="52">
        <f t="shared" si="3"/>
        <v>0.11725663716814159</v>
      </c>
      <c r="I31" s="49">
        <v>33.4</v>
      </c>
      <c r="J31" s="49">
        <v>52.1</v>
      </c>
      <c r="K31" s="49">
        <v>55.2</v>
      </c>
      <c r="L31" s="49">
        <v>53</v>
      </c>
      <c r="M31" s="49">
        <v>54.9</v>
      </c>
      <c r="N31" s="49">
        <v>57</v>
      </c>
      <c r="O31" s="49">
        <v>35.700000000000003</v>
      </c>
      <c r="P31" s="49">
        <v>27</v>
      </c>
      <c r="Q31" s="49">
        <v>26.6</v>
      </c>
      <c r="R31" s="49">
        <v>42.1</v>
      </c>
      <c r="S31" s="49">
        <v>39.6</v>
      </c>
      <c r="T31" s="49">
        <v>32.200000000000003</v>
      </c>
    </row>
    <row r="32" spans="1:20" s="53" customFormat="1" ht="15.75" customHeight="1" x14ac:dyDescent="0.25">
      <c r="A32" s="50">
        <v>1938</v>
      </c>
      <c r="B32" s="50">
        <v>12</v>
      </c>
      <c r="C32" s="51">
        <f t="shared" si="0"/>
        <v>38.774999999999999</v>
      </c>
      <c r="D32" s="51">
        <f t="shared" si="1"/>
        <v>465.3</v>
      </c>
      <c r="E32" s="49">
        <v>361.6</v>
      </c>
      <c r="F32" s="49">
        <f t="shared" si="2"/>
        <v>9.3255963894261775</v>
      </c>
      <c r="G32" s="52">
        <f t="shared" si="3"/>
        <v>0.1072317477876106</v>
      </c>
      <c r="I32" s="49">
        <v>37.1</v>
      </c>
      <c r="J32" s="49">
        <v>45.3</v>
      </c>
      <c r="K32" s="49">
        <v>48.9</v>
      </c>
      <c r="L32" s="49">
        <v>49.8</v>
      </c>
      <c r="M32" s="49">
        <v>60.3</v>
      </c>
      <c r="N32" s="49">
        <v>66</v>
      </c>
      <c r="O32" s="49">
        <v>37</v>
      </c>
      <c r="P32" s="49">
        <v>20</v>
      </c>
      <c r="Q32" s="49">
        <v>20</v>
      </c>
      <c r="R32" s="49">
        <v>35.9</v>
      </c>
      <c r="S32" s="49">
        <v>22</v>
      </c>
      <c r="T32" s="49">
        <v>23</v>
      </c>
    </row>
    <row r="33" spans="1:20" s="53" customFormat="1" ht="15.75" customHeight="1" x14ac:dyDescent="0.25">
      <c r="A33" s="50">
        <v>1939</v>
      </c>
      <c r="B33" s="50">
        <v>12</v>
      </c>
      <c r="C33" s="51">
        <f t="shared" si="0"/>
        <v>43.041666666666679</v>
      </c>
      <c r="D33" s="51">
        <f t="shared" si="1"/>
        <v>516.50000000000011</v>
      </c>
      <c r="E33" s="49">
        <v>361.6</v>
      </c>
      <c r="F33" s="49">
        <f t="shared" si="2"/>
        <v>8.401161665053241</v>
      </c>
      <c r="G33" s="52">
        <f t="shared" si="3"/>
        <v>0.11903115781710917</v>
      </c>
      <c r="I33" s="49">
        <v>24.7</v>
      </c>
      <c r="J33" s="49">
        <v>26.8</v>
      </c>
      <c r="K33" s="49">
        <v>48.5</v>
      </c>
      <c r="L33" s="49">
        <v>60.1</v>
      </c>
      <c r="M33" s="49">
        <v>62</v>
      </c>
      <c r="N33" s="49">
        <v>62</v>
      </c>
      <c r="O33" s="49">
        <v>43.6</v>
      </c>
      <c r="P33" s="49">
        <v>28.1</v>
      </c>
      <c r="Q33" s="49">
        <v>29</v>
      </c>
      <c r="R33" s="49">
        <v>45.7</v>
      </c>
      <c r="S33" s="49">
        <v>47.1</v>
      </c>
      <c r="T33" s="49">
        <v>38.9</v>
      </c>
    </row>
    <row r="34" spans="1:20" s="53" customFormat="1" ht="15.75" customHeight="1" x14ac:dyDescent="0.25">
      <c r="A34" s="50">
        <v>1940</v>
      </c>
      <c r="B34" s="50">
        <v>12</v>
      </c>
      <c r="C34" s="51">
        <f t="shared" si="0"/>
        <v>46.699999999999996</v>
      </c>
      <c r="D34" s="51">
        <f t="shared" si="1"/>
        <v>560.4</v>
      </c>
      <c r="E34" s="49">
        <v>361.6</v>
      </c>
      <c r="F34" s="49">
        <f t="shared" si="2"/>
        <v>7.743040685224841</v>
      </c>
      <c r="G34" s="52">
        <f t="shared" si="3"/>
        <v>0.12914823008849555</v>
      </c>
      <c r="I34" s="49">
        <v>46</v>
      </c>
      <c r="J34" s="49">
        <v>46</v>
      </c>
      <c r="K34" s="49">
        <v>48.3</v>
      </c>
      <c r="L34" s="49">
        <v>55</v>
      </c>
      <c r="M34" s="49">
        <v>55.5</v>
      </c>
      <c r="N34" s="49">
        <v>55</v>
      </c>
      <c r="O34" s="49">
        <v>54.3</v>
      </c>
      <c r="P34" s="49">
        <v>42.7</v>
      </c>
      <c r="Q34" s="49">
        <v>31</v>
      </c>
      <c r="R34" s="49">
        <v>33</v>
      </c>
      <c r="S34" s="49">
        <v>60</v>
      </c>
      <c r="T34" s="49">
        <v>33.6</v>
      </c>
    </row>
    <row r="35" spans="1:20" s="53" customFormat="1" ht="15.75" customHeight="1" x14ac:dyDescent="0.25">
      <c r="A35" s="50">
        <v>1941</v>
      </c>
      <c r="B35" s="50">
        <v>12</v>
      </c>
      <c r="C35" s="51">
        <f t="shared" si="0"/>
        <v>45.79999999999999</v>
      </c>
      <c r="D35" s="51">
        <f t="shared" si="1"/>
        <v>549.59999999999991</v>
      </c>
      <c r="E35" s="49">
        <v>361.6</v>
      </c>
      <c r="F35" s="49">
        <f t="shared" si="2"/>
        <v>7.8951965065502208</v>
      </c>
      <c r="G35" s="52">
        <f t="shared" si="3"/>
        <v>0.12665929203539819</v>
      </c>
      <c r="I35" s="49">
        <v>30.6</v>
      </c>
      <c r="J35" s="49">
        <v>32</v>
      </c>
      <c r="K35" s="49">
        <v>35</v>
      </c>
      <c r="L35" s="49">
        <v>52.3</v>
      </c>
      <c r="M35" s="49">
        <v>53</v>
      </c>
      <c r="N35" s="49">
        <v>61.8</v>
      </c>
      <c r="O35" s="49">
        <v>80.099999999999994</v>
      </c>
      <c r="P35" s="49">
        <v>37.700000000000003</v>
      </c>
      <c r="Q35" s="49">
        <v>37</v>
      </c>
      <c r="R35" s="49">
        <v>53.4</v>
      </c>
      <c r="S35" s="49">
        <v>38.700000000000003</v>
      </c>
      <c r="T35" s="49">
        <v>38</v>
      </c>
    </row>
    <row r="36" spans="1:20" s="53" customFormat="1" ht="15.75" customHeight="1" x14ac:dyDescent="0.25">
      <c r="A36" s="50">
        <v>1942</v>
      </c>
      <c r="B36" s="50">
        <v>12</v>
      </c>
      <c r="C36" s="51">
        <f t="shared" si="0"/>
        <v>41.708333333333336</v>
      </c>
      <c r="D36" s="51">
        <f t="shared" si="1"/>
        <v>500.5</v>
      </c>
      <c r="E36" s="49">
        <v>361.6</v>
      </c>
      <c r="F36" s="49">
        <f t="shared" si="2"/>
        <v>8.6697302697302696</v>
      </c>
      <c r="G36" s="52">
        <f t="shared" si="3"/>
        <v>0.11534384218289086</v>
      </c>
      <c r="I36" s="49">
        <v>38</v>
      </c>
      <c r="J36" s="49">
        <v>38</v>
      </c>
      <c r="K36" s="49">
        <v>44.2</v>
      </c>
      <c r="L36" s="49">
        <v>48.9</v>
      </c>
      <c r="M36" s="49">
        <v>50.6</v>
      </c>
      <c r="N36" s="49">
        <v>58.2</v>
      </c>
      <c r="O36" s="49">
        <v>58</v>
      </c>
      <c r="P36" s="49">
        <v>34.6</v>
      </c>
      <c r="Q36" s="49">
        <v>33</v>
      </c>
      <c r="R36" s="49">
        <v>52.6</v>
      </c>
      <c r="S36" s="49">
        <v>20.399999999999999</v>
      </c>
      <c r="T36" s="49">
        <v>24</v>
      </c>
    </row>
    <row r="37" spans="1:20" s="53" customFormat="1" ht="15.75" customHeight="1" x14ac:dyDescent="0.25">
      <c r="A37" s="50">
        <v>1943</v>
      </c>
      <c r="B37" s="50">
        <v>12</v>
      </c>
      <c r="C37" s="51">
        <f t="shared" si="0"/>
        <v>26.908333333333342</v>
      </c>
      <c r="D37" s="51">
        <f t="shared" si="1"/>
        <v>322.90000000000009</v>
      </c>
      <c r="E37" s="49">
        <v>361.6</v>
      </c>
      <c r="F37" s="49">
        <f t="shared" si="2"/>
        <v>13.43821616599566</v>
      </c>
      <c r="G37" s="52">
        <f t="shared" si="3"/>
        <v>7.4414638643067868E-2</v>
      </c>
      <c r="I37" s="49">
        <v>24.8</v>
      </c>
      <c r="J37" s="49">
        <v>26.4</v>
      </c>
      <c r="K37" s="49">
        <v>27</v>
      </c>
      <c r="L37" s="49">
        <v>35.1</v>
      </c>
      <c r="M37" s="49">
        <v>36</v>
      </c>
      <c r="N37" s="49">
        <v>36</v>
      </c>
      <c r="O37" s="49">
        <v>35</v>
      </c>
      <c r="P37" s="49">
        <v>18.399999999999999</v>
      </c>
      <c r="Q37" s="49">
        <v>15</v>
      </c>
      <c r="R37" s="49">
        <v>16</v>
      </c>
      <c r="S37" s="49">
        <v>34.6</v>
      </c>
      <c r="T37" s="49">
        <v>18.600000000000001</v>
      </c>
    </row>
    <row r="38" spans="1:20" s="53" customFormat="1" ht="15.75" customHeight="1" x14ac:dyDescent="0.25">
      <c r="A38" s="50">
        <v>1944</v>
      </c>
      <c r="B38" s="50">
        <v>12</v>
      </c>
      <c r="C38" s="51">
        <f t="shared" si="0"/>
        <v>26.491666666666664</v>
      </c>
      <c r="D38" s="51">
        <f t="shared" si="1"/>
        <v>317.89999999999998</v>
      </c>
      <c r="E38" s="49">
        <v>361.6</v>
      </c>
      <c r="F38" s="49">
        <f t="shared" si="2"/>
        <v>13.649575338156655</v>
      </c>
      <c r="G38" s="52">
        <f t="shared" si="3"/>
        <v>7.3262352507374617E-2</v>
      </c>
      <c r="I38" s="49">
        <v>25.4</v>
      </c>
      <c r="J38" s="49">
        <v>23.3</v>
      </c>
      <c r="K38" s="49">
        <v>28.8</v>
      </c>
      <c r="L38" s="49">
        <v>31.1</v>
      </c>
      <c r="M38" s="49">
        <v>33.299999999999997</v>
      </c>
      <c r="N38" s="49">
        <v>34</v>
      </c>
      <c r="O38" s="49">
        <v>33.799999999999997</v>
      </c>
      <c r="P38" s="49">
        <v>19</v>
      </c>
      <c r="Q38" s="49">
        <v>23</v>
      </c>
      <c r="R38" s="49">
        <v>22.2</v>
      </c>
      <c r="S38" s="49">
        <v>18</v>
      </c>
      <c r="T38" s="49">
        <v>26</v>
      </c>
    </row>
    <row r="39" spans="1:20" s="53" customFormat="1" ht="15.75" customHeight="1" x14ac:dyDescent="0.25">
      <c r="A39" s="50">
        <v>1945</v>
      </c>
      <c r="B39" s="50">
        <v>12</v>
      </c>
      <c r="C39" s="51">
        <f t="shared" si="0"/>
        <v>25.8</v>
      </c>
      <c r="D39" s="51">
        <f t="shared" si="1"/>
        <v>309.60000000000002</v>
      </c>
      <c r="E39" s="49">
        <v>361.6</v>
      </c>
      <c r="F39" s="49">
        <f t="shared" si="2"/>
        <v>14.015503875968992</v>
      </c>
      <c r="G39" s="52">
        <f t="shared" si="3"/>
        <v>7.1349557522123894E-2</v>
      </c>
      <c r="I39" s="49">
        <v>31.2</v>
      </c>
      <c r="J39" s="49">
        <v>20.5</v>
      </c>
      <c r="K39" s="49">
        <v>20</v>
      </c>
      <c r="L39" s="49">
        <v>32.700000000000003</v>
      </c>
      <c r="M39" s="49">
        <v>26.4</v>
      </c>
      <c r="N39" s="49">
        <v>34.200000000000003</v>
      </c>
      <c r="O39" s="49">
        <v>35</v>
      </c>
      <c r="P39" s="49">
        <v>23.2</v>
      </c>
      <c r="Q39" s="49">
        <v>21.4</v>
      </c>
      <c r="R39" s="49">
        <v>22</v>
      </c>
      <c r="S39" s="49">
        <v>21.8</v>
      </c>
      <c r="T39" s="49">
        <v>21.2</v>
      </c>
    </row>
    <row r="40" spans="1:20" s="53" customFormat="1" ht="15.75" customHeight="1" x14ac:dyDescent="0.25">
      <c r="A40" s="50">
        <v>1946</v>
      </c>
      <c r="B40" s="50">
        <v>12</v>
      </c>
      <c r="C40" s="51">
        <f t="shared" si="0"/>
        <v>29.666666666666661</v>
      </c>
      <c r="D40" s="51">
        <f t="shared" si="1"/>
        <v>355.99999999999994</v>
      </c>
      <c r="E40" s="49">
        <v>361.6</v>
      </c>
      <c r="F40" s="49">
        <f t="shared" si="2"/>
        <v>12.188764044943824</v>
      </c>
      <c r="G40" s="52">
        <f t="shared" si="3"/>
        <v>8.2042772861356916E-2</v>
      </c>
      <c r="I40" s="49">
        <v>29.7</v>
      </c>
      <c r="J40" s="49">
        <v>28.8</v>
      </c>
      <c r="K40" s="49">
        <v>28</v>
      </c>
      <c r="L40" s="49">
        <v>28</v>
      </c>
      <c r="M40" s="49">
        <v>27.7</v>
      </c>
      <c r="N40" s="49">
        <v>30</v>
      </c>
      <c r="O40" s="49">
        <v>31.6</v>
      </c>
      <c r="P40" s="49">
        <v>32</v>
      </c>
      <c r="Q40" s="49">
        <v>32</v>
      </c>
      <c r="R40" s="49">
        <v>29.8</v>
      </c>
      <c r="S40" s="49">
        <v>31</v>
      </c>
      <c r="T40" s="49">
        <v>27.4</v>
      </c>
    </row>
    <row r="41" spans="1:20" s="53" customFormat="1" ht="15.75" customHeight="1" x14ac:dyDescent="0.25">
      <c r="A41" s="50">
        <v>1947</v>
      </c>
      <c r="B41" s="50">
        <v>12</v>
      </c>
      <c r="C41" s="51">
        <f t="shared" si="0"/>
        <v>27.108333333333334</v>
      </c>
      <c r="D41" s="51">
        <f t="shared" si="1"/>
        <v>325.3</v>
      </c>
      <c r="E41" s="49">
        <v>361.6</v>
      </c>
      <c r="F41" s="49">
        <f t="shared" si="2"/>
        <v>13.339071626191208</v>
      </c>
      <c r="G41" s="52">
        <f t="shared" si="3"/>
        <v>7.4967735988200584E-2</v>
      </c>
      <c r="I41" s="49">
        <v>27</v>
      </c>
      <c r="J41" s="49">
        <v>27</v>
      </c>
      <c r="K41" s="49">
        <v>27</v>
      </c>
      <c r="L41" s="49">
        <v>27</v>
      </c>
      <c r="M41" s="49">
        <v>27</v>
      </c>
      <c r="N41" s="49">
        <v>27</v>
      </c>
      <c r="O41" s="49">
        <v>27</v>
      </c>
      <c r="P41" s="49">
        <v>27</v>
      </c>
      <c r="Q41" s="49">
        <v>27</v>
      </c>
      <c r="R41" s="49">
        <v>26.5</v>
      </c>
      <c r="S41" s="49">
        <v>27.8</v>
      </c>
      <c r="T41" s="49">
        <v>28</v>
      </c>
    </row>
    <row r="42" spans="1:20" s="53" customFormat="1" ht="15.75" customHeight="1" x14ac:dyDescent="0.25">
      <c r="A42" s="50">
        <v>1948</v>
      </c>
      <c r="B42" s="50">
        <v>12</v>
      </c>
      <c r="C42" s="51">
        <f t="shared" si="0"/>
        <v>25.141666666666669</v>
      </c>
      <c r="D42" s="51">
        <f t="shared" si="1"/>
        <v>301.70000000000005</v>
      </c>
      <c r="E42" s="49">
        <v>361.6</v>
      </c>
      <c r="F42" s="49">
        <f t="shared" si="2"/>
        <v>14.38249917136228</v>
      </c>
      <c r="G42" s="52">
        <f t="shared" si="3"/>
        <v>6.9528945427728611E-2</v>
      </c>
      <c r="I42" s="49">
        <v>26</v>
      </c>
      <c r="J42" s="49">
        <v>25.2</v>
      </c>
      <c r="K42" s="49">
        <v>27</v>
      </c>
      <c r="L42" s="49">
        <v>28</v>
      </c>
      <c r="M42" s="49">
        <v>29</v>
      </c>
      <c r="N42" s="49">
        <v>28.8</v>
      </c>
      <c r="O42" s="49">
        <v>25</v>
      </c>
      <c r="P42" s="49">
        <v>25</v>
      </c>
      <c r="Q42" s="49">
        <v>25</v>
      </c>
      <c r="R42" s="49">
        <v>24.1</v>
      </c>
      <c r="S42" s="49">
        <v>22.6</v>
      </c>
      <c r="T42" s="49">
        <v>16</v>
      </c>
    </row>
    <row r="43" spans="1:20" s="53" customFormat="1" ht="15.75" customHeight="1" x14ac:dyDescent="0.25">
      <c r="A43" s="50">
        <v>1949</v>
      </c>
      <c r="B43" s="50">
        <v>12</v>
      </c>
      <c r="C43" s="51">
        <f t="shared" si="0"/>
        <v>15.366666666666667</v>
      </c>
      <c r="D43" s="51">
        <f t="shared" si="1"/>
        <v>184.4</v>
      </c>
      <c r="E43" s="49">
        <v>361.6</v>
      </c>
      <c r="F43" s="49">
        <f t="shared" si="2"/>
        <v>23.531453362255967</v>
      </c>
      <c r="G43" s="52">
        <f t="shared" si="3"/>
        <v>4.2496312684365781E-2</v>
      </c>
      <c r="I43" s="49">
        <v>16</v>
      </c>
      <c r="J43" s="49">
        <v>16</v>
      </c>
      <c r="K43" s="49">
        <v>16</v>
      </c>
      <c r="L43" s="49">
        <v>16</v>
      </c>
      <c r="M43" s="49">
        <v>16</v>
      </c>
      <c r="N43" s="49">
        <v>14.4</v>
      </c>
      <c r="O43" s="49">
        <v>15</v>
      </c>
      <c r="P43" s="49">
        <v>15</v>
      </c>
      <c r="Q43" s="49">
        <v>15</v>
      </c>
      <c r="R43" s="49">
        <v>14.2</v>
      </c>
      <c r="S43" s="49">
        <v>15</v>
      </c>
      <c r="T43" s="49">
        <v>15.8</v>
      </c>
    </row>
    <row r="44" spans="1:20" s="53" customFormat="1" ht="15.75" customHeight="1" x14ac:dyDescent="0.25">
      <c r="A44" s="50">
        <v>1950</v>
      </c>
      <c r="B44" s="50">
        <v>12</v>
      </c>
      <c r="C44" s="51">
        <f t="shared" si="0"/>
        <v>15.566666666666665</v>
      </c>
      <c r="D44" s="51">
        <f t="shared" si="1"/>
        <v>186.79999999999998</v>
      </c>
      <c r="E44" s="49">
        <v>361.6</v>
      </c>
      <c r="F44" s="49">
        <f t="shared" si="2"/>
        <v>23.229122055674523</v>
      </c>
      <c r="G44" s="52">
        <f t="shared" si="3"/>
        <v>4.3049410029498518E-2</v>
      </c>
      <c r="I44" s="49">
        <v>16</v>
      </c>
      <c r="J44" s="49">
        <v>16</v>
      </c>
      <c r="K44" s="49">
        <v>16</v>
      </c>
      <c r="L44" s="49">
        <v>16</v>
      </c>
      <c r="M44" s="49">
        <v>15.2</v>
      </c>
      <c r="N44" s="49">
        <v>15</v>
      </c>
      <c r="O44" s="49">
        <v>15</v>
      </c>
      <c r="P44" s="49">
        <v>15</v>
      </c>
      <c r="Q44" s="49">
        <v>15</v>
      </c>
      <c r="R44" s="49">
        <v>14.4</v>
      </c>
      <c r="S44" s="49">
        <v>16.2</v>
      </c>
      <c r="T44" s="49">
        <v>17</v>
      </c>
    </row>
    <row r="45" spans="1:20" s="53" customFormat="1" ht="15.75" customHeight="1" x14ac:dyDescent="0.25">
      <c r="A45" s="50">
        <v>1951</v>
      </c>
      <c r="B45" s="50">
        <v>12</v>
      </c>
      <c r="C45" s="51">
        <f t="shared" si="0"/>
        <v>22.058333333333337</v>
      </c>
      <c r="D45" s="51">
        <f t="shared" si="1"/>
        <v>264.70000000000005</v>
      </c>
      <c r="E45" s="49">
        <v>361.6</v>
      </c>
      <c r="F45" s="49">
        <f t="shared" si="2"/>
        <v>16.392897619947107</v>
      </c>
      <c r="G45" s="52">
        <f t="shared" si="3"/>
        <v>6.1002028023598824E-2</v>
      </c>
      <c r="I45" s="49">
        <v>17</v>
      </c>
      <c r="J45" s="49">
        <v>17.399999999999999</v>
      </c>
      <c r="K45" s="49">
        <v>18</v>
      </c>
      <c r="L45" s="49">
        <v>22</v>
      </c>
      <c r="M45" s="49">
        <v>23</v>
      </c>
      <c r="N45" s="49">
        <v>23</v>
      </c>
      <c r="O45" s="49">
        <v>23</v>
      </c>
      <c r="P45" s="49">
        <v>23</v>
      </c>
      <c r="Q45" s="49">
        <v>23</v>
      </c>
      <c r="R45" s="49">
        <v>29.5</v>
      </c>
      <c r="S45" s="49">
        <v>22.8</v>
      </c>
      <c r="T45" s="49">
        <v>23</v>
      </c>
    </row>
    <row r="46" spans="1:20" s="53" customFormat="1" ht="15.75" customHeight="1" x14ac:dyDescent="0.25">
      <c r="A46" s="50">
        <v>1952</v>
      </c>
      <c r="B46" s="50">
        <v>12</v>
      </c>
      <c r="C46" s="51">
        <f t="shared" si="0"/>
        <v>20.533333333333335</v>
      </c>
      <c r="D46" s="51">
        <f t="shared" si="1"/>
        <v>246.4</v>
      </c>
      <c r="E46" s="49">
        <v>361.6</v>
      </c>
      <c r="F46" s="49">
        <f t="shared" si="2"/>
        <v>17.61038961038961</v>
      </c>
      <c r="G46" s="52">
        <f t="shared" si="3"/>
        <v>5.6784660766961655E-2</v>
      </c>
      <c r="I46" s="49">
        <v>23</v>
      </c>
      <c r="J46" s="49">
        <v>23</v>
      </c>
      <c r="K46" s="49">
        <v>22</v>
      </c>
      <c r="L46" s="49">
        <v>21</v>
      </c>
      <c r="M46" s="49">
        <v>21</v>
      </c>
      <c r="N46" s="49">
        <v>19.600000000000001</v>
      </c>
      <c r="O46" s="49">
        <v>20.5</v>
      </c>
      <c r="P46" s="49">
        <v>21</v>
      </c>
      <c r="Q46" s="49">
        <v>21</v>
      </c>
      <c r="R46" s="49">
        <v>19.399999999999999</v>
      </c>
      <c r="S46" s="49">
        <v>17</v>
      </c>
      <c r="T46" s="49">
        <v>17.899999999999999</v>
      </c>
    </row>
    <row r="47" spans="1:20" s="53" customFormat="1" ht="15.75" customHeight="1" x14ac:dyDescent="0.25">
      <c r="A47" s="50">
        <v>1953</v>
      </c>
      <c r="B47" s="50">
        <v>12</v>
      </c>
      <c r="C47" s="51">
        <f t="shared" si="0"/>
        <v>18.433333333333334</v>
      </c>
      <c r="D47" s="51">
        <f t="shared" si="1"/>
        <v>221.20000000000002</v>
      </c>
      <c r="E47" s="49">
        <v>361.6</v>
      </c>
      <c r="F47" s="49">
        <f t="shared" si="2"/>
        <v>19.616636528028934</v>
      </c>
      <c r="G47" s="52">
        <f t="shared" si="3"/>
        <v>5.0977138643067847E-2</v>
      </c>
      <c r="I47" s="49">
        <v>18.399999999999999</v>
      </c>
      <c r="J47" s="49">
        <v>19</v>
      </c>
      <c r="K47" s="49">
        <v>19</v>
      </c>
      <c r="L47" s="49">
        <v>19</v>
      </c>
      <c r="M47" s="49">
        <v>16.5</v>
      </c>
      <c r="N47" s="49">
        <v>17</v>
      </c>
      <c r="O47" s="49">
        <v>16.7</v>
      </c>
      <c r="P47" s="49">
        <v>19.2</v>
      </c>
      <c r="Q47" s="49">
        <v>19.899999999999999</v>
      </c>
      <c r="R47" s="49">
        <v>17.399999999999999</v>
      </c>
      <c r="S47" s="49">
        <v>18.899999999999999</v>
      </c>
      <c r="T47" s="49">
        <v>20.2</v>
      </c>
    </row>
    <row r="48" spans="1:20" s="53" customFormat="1" ht="15.75" customHeight="1" x14ac:dyDescent="0.25">
      <c r="A48" s="50">
        <v>1954</v>
      </c>
      <c r="B48" s="50">
        <v>12</v>
      </c>
      <c r="C48" s="51">
        <f t="shared" si="0"/>
        <v>21.424999999999997</v>
      </c>
      <c r="D48" s="51">
        <f t="shared" si="1"/>
        <v>257.09999999999997</v>
      </c>
      <c r="E48" s="49">
        <v>361.6</v>
      </c>
      <c r="F48" s="49">
        <f t="shared" si="2"/>
        <v>16.877479579929993</v>
      </c>
      <c r="G48" s="52">
        <f t="shared" si="3"/>
        <v>5.9250553097345122E-2</v>
      </c>
      <c r="I48" s="49">
        <v>26.8</v>
      </c>
      <c r="J48" s="49">
        <v>21.4</v>
      </c>
      <c r="K48" s="49">
        <v>21</v>
      </c>
      <c r="L48" s="49">
        <v>21</v>
      </c>
      <c r="M48" s="49">
        <v>21</v>
      </c>
      <c r="N48" s="49">
        <v>21</v>
      </c>
      <c r="O48" s="49">
        <v>21</v>
      </c>
      <c r="P48" s="49">
        <v>21</v>
      </c>
      <c r="Q48" s="49">
        <v>21</v>
      </c>
      <c r="R48" s="49">
        <v>20.100000000000001</v>
      </c>
      <c r="S48" s="49">
        <v>19.5</v>
      </c>
      <c r="T48" s="49">
        <v>22.3</v>
      </c>
    </row>
    <row r="49" spans="1:20" s="53" customFormat="1" ht="15.75" customHeight="1" x14ac:dyDescent="0.25">
      <c r="A49" s="50">
        <v>1955</v>
      </c>
      <c r="B49" s="50">
        <v>12</v>
      </c>
      <c r="C49" s="51">
        <f t="shared" si="0"/>
        <v>19.883333333333333</v>
      </c>
      <c r="D49" s="51">
        <f t="shared" si="1"/>
        <v>238.6</v>
      </c>
      <c r="E49" s="49">
        <v>361.6</v>
      </c>
      <c r="F49" s="49">
        <f t="shared" si="2"/>
        <v>18.186085498742667</v>
      </c>
      <c r="G49" s="52">
        <f t="shared" si="3"/>
        <v>5.4987094395280232E-2</v>
      </c>
      <c r="I49" s="49">
        <v>18.7</v>
      </c>
      <c r="J49" s="49">
        <v>20</v>
      </c>
      <c r="K49" s="49">
        <v>20</v>
      </c>
      <c r="L49" s="49">
        <v>20</v>
      </c>
      <c r="M49" s="49">
        <v>19.899999999999999</v>
      </c>
      <c r="N49" s="49">
        <v>20</v>
      </c>
      <c r="O49" s="49">
        <v>20</v>
      </c>
      <c r="P49" s="49">
        <v>20</v>
      </c>
      <c r="Q49" s="49">
        <v>20</v>
      </c>
      <c r="R49" s="49">
        <v>20</v>
      </c>
      <c r="S49" s="49">
        <v>20</v>
      </c>
      <c r="T49" s="49">
        <v>20</v>
      </c>
    </row>
    <row r="50" spans="1:20" s="53" customFormat="1" ht="15.75" customHeight="1" x14ac:dyDescent="0.25">
      <c r="A50" s="50">
        <v>1956</v>
      </c>
      <c r="B50" s="50">
        <v>12</v>
      </c>
      <c r="C50" s="51">
        <f t="shared" si="0"/>
        <v>18.766666666666666</v>
      </c>
      <c r="D50" s="51">
        <f t="shared" si="1"/>
        <v>225.2</v>
      </c>
      <c r="E50" s="49">
        <v>361.6</v>
      </c>
      <c r="F50" s="49">
        <f t="shared" si="2"/>
        <v>19.268206039076379</v>
      </c>
      <c r="G50" s="52">
        <f t="shared" si="3"/>
        <v>5.1898967551622412E-2</v>
      </c>
      <c r="I50" s="49">
        <v>20</v>
      </c>
      <c r="J50" s="49">
        <v>20</v>
      </c>
      <c r="K50" s="49">
        <v>19.399999999999999</v>
      </c>
      <c r="L50" s="49">
        <v>18</v>
      </c>
      <c r="M50" s="49">
        <v>19</v>
      </c>
      <c r="N50" s="49">
        <v>19</v>
      </c>
      <c r="O50" s="49">
        <v>19</v>
      </c>
      <c r="P50" s="49">
        <v>15.7</v>
      </c>
      <c r="Q50" s="49">
        <v>19</v>
      </c>
      <c r="R50" s="49">
        <v>18.100000000000001</v>
      </c>
      <c r="S50" s="49">
        <v>19</v>
      </c>
      <c r="T50" s="49">
        <v>19</v>
      </c>
    </row>
    <row r="51" spans="1:20" s="53" customFormat="1" ht="15.75" customHeight="1" x14ac:dyDescent="0.25">
      <c r="A51" s="50">
        <v>1957</v>
      </c>
      <c r="B51" s="50">
        <v>12</v>
      </c>
      <c r="C51" s="51">
        <f t="shared" si="0"/>
        <v>16.708333333333332</v>
      </c>
      <c r="D51" s="51">
        <f t="shared" si="1"/>
        <v>200.5</v>
      </c>
      <c r="E51" s="49">
        <v>361.6</v>
      </c>
      <c r="F51" s="49">
        <f t="shared" si="2"/>
        <v>21.641895261845388</v>
      </c>
      <c r="G51" s="52">
        <f t="shared" si="3"/>
        <v>4.6206674041297927E-2</v>
      </c>
      <c r="I51" s="49">
        <v>19</v>
      </c>
      <c r="J51" s="49">
        <v>18.7</v>
      </c>
      <c r="K51" s="49">
        <v>17</v>
      </c>
      <c r="L51" s="49">
        <v>17</v>
      </c>
      <c r="M51" s="49">
        <v>14</v>
      </c>
      <c r="N51" s="49">
        <v>14</v>
      </c>
      <c r="O51" s="49">
        <v>14</v>
      </c>
      <c r="P51" s="49">
        <v>14</v>
      </c>
      <c r="Q51" s="49">
        <v>14</v>
      </c>
      <c r="R51" s="49">
        <v>14</v>
      </c>
      <c r="S51" s="49">
        <v>20.8</v>
      </c>
      <c r="T51" s="49">
        <v>24</v>
      </c>
    </row>
    <row r="52" spans="1:20" s="53" customFormat="1" ht="15.75" customHeight="1" x14ac:dyDescent="0.25">
      <c r="A52" s="50">
        <v>1958</v>
      </c>
      <c r="B52" s="50">
        <v>12</v>
      </c>
      <c r="C52" s="51">
        <f t="shared" si="0"/>
        <v>21.724999999999998</v>
      </c>
      <c r="D52" s="51">
        <f t="shared" si="1"/>
        <v>260.7</v>
      </c>
      <c r="E52" s="49">
        <v>361.6</v>
      </c>
      <c r="F52" s="49">
        <f t="shared" si="2"/>
        <v>16.644418872266975</v>
      </c>
      <c r="G52" s="52">
        <f t="shared" si="3"/>
        <v>6.0080199115044239E-2</v>
      </c>
      <c r="I52" s="49">
        <v>24</v>
      </c>
      <c r="J52" s="49">
        <v>24</v>
      </c>
      <c r="K52" s="49">
        <v>22.8</v>
      </c>
      <c r="L52" s="49">
        <v>23.1</v>
      </c>
      <c r="M52" s="49">
        <v>24</v>
      </c>
      <c r="N52" s="49">
        <v>23.6</v>
      </c>
      <c r="O52" s="49">
        <v>28.7</v>
      </c>
      <c r="P52" s="49">
        <v>32</v>
      </c>
      <c r="Q52" s="49">
        <v>32</v>
      </c>
      <c r="R52" s="49">
        <v>26.5</v>
      </c>
      <c r="S52" s="49">
        <v>0</v>
      </c>
      <c r="T52" s="49">
        <v>0</v>
      </c>
    </row>
    <row r="53" spans="1:20" s="53" customFormat="1" ht="15.75" customHeight="1" x14ac:dyDescent="0.25">
      <c r="A53" s="50">
        <v>1959</v>
      </c>
      <c r="B53" s="50">
        <v>12</v>
      </c>
      <c r="C53" s="51">
        <f t="shared" si="0"/>
        <v>14.375</v>
      </c>
      <c r="D53" s="51">
        <f t="shared" si="1"/>
        <v>172.5</v>
      </c>
      <c r="E53" s="49">
        <v>361.6</v>
      </c>
      <c r="F53" s="49">
        <f t="shared" si="2"/>
        <v>25.154782608695655</v>
      </c>
      <c r="G53" s="52">
        <f t="shared" si="3"/>
        <v>3.9753871681415927E-2</v>
      </c>
      <c r="I53" s="49">
        <v>1.3</v>
      </c>
      <c r="J53" s="49">
        <v>7</v>
      </c>
      <c r="K53" s="49">
        <v>8.8000000000000007</v>
      </c>
      <c r="L53" s="49">
        <v>9</v>
      </c>
      <c r="M53" s="49">
        <v>12.5</v>
      </c>
      <c r="N53" s="49">
        <v>14</v>
      </c>
      <c r="O53" s="49">
        <v>14</v>
      </c>
      <c r="P53" s="49">
        <v>14</v>
      </c>
      <c r="Q53" s="49">
        <v>14</v>
      </c>
      <c r="R53" s="49">
        <v>14</v>
      </c>
      <c r="S53" s="49">
        <v>20.6</v>
      </c>
      <c r="T53" s="49">
        <v>43.3</v>
      </c>
    </row>
    <row r="54" spans="1:20" s="53" customFormat="1" ht="15.75" customHeight="1" x14ac:dyDescent="0.25">
      <c r="A54" s="50">
        <v>1960</v>
      </c>
      <c r="B54" s="50">
        <v>12</v>
      </c>
      <c r="C54" s="51">
        <f t="shared" si="0"/>
        <v>28.974999999999998</v>
      </c>
      <c r="D54" s="51">
        <f t="shared" si="1"/>
        <v>347.7</v>
      </c>
      <c r="E54" s="49">
        <v>361.6</v>
      </c>
      <c r="F54" s="49">
        <f t="shared" si="2"/>
        <v>12.47972389991372</v>
      </c>
      <c r="G54" s="52">
        <f t="shared" si="3"/>
        <v>8.0129977876106179E-2</v>
      </c>
      <c r="I54" s="49">
        <v>29</v>
      </c>
      <c r="J54" s="49">
        <v>3</v>
      </c>
      <c r="K54" s="49">
        <v>3</v>
      </c>
      <c r="L54" s="49">
        <v>6.3</v>
      </c>
      <c r="M54" s="49">
        <v>24</v>
      </c>
      <c r="N54" s="49">
        <v>24</v>
      </c>
      <c r="O54" s="49">
        <v>46.4</v>
      </c>
      <c r="P54" s="49">
        <v>67</v>
      </c>
      <c r="Q54" s="49">
        <v>67</v>
      </c>
      <c r="R54" s="49">
        <v>45</v>
      </c>
      <c r="S54" s="49">
        <v>23</v>
      </c>
      <c r="T54" s="49">
        <v>10</v>
      </c>
    </row>
    <row r="55" spans="1:20" s="53" customFormat="1" ht="15.75" customHeight="1" x14ac:dyDescent="0.25">
      <c r="A55" s="50">
        <v>1961</v>
      </c>
      <c r="B55" s="50">
        <v>12</v>
      </c>
      <c r="C55" s="51">
        <f t="shared" si="0"/>
        <v>16.616666666666667</v>
      </c>
      <c r="D55" s="51">
        <f t="shared" si="1"/>
        <v>199.4</v>
      </c>
      <c r="E55" s="49">
        <v>361.6</v>
      </c>
      <c r="F55" s="49">
        <f t="shared" si="2"/>
        <v>21.761283851554666</v>
      </c>
      <c r="G55" s="52">
        <f t="shared" si="3"/>
        <v>4.5953171091445429E-2</v>
      </c>
      <c r="I55" s="49">
        <v>16</v>
      </c>
      <c r="J55" s="49">
        <v>16</v>
      </c>
      <c r="K55" s="49">
        <v>16</v>
      </c>
      <c r="L55" s="49">
        <v>16</v>
      </c>
      <c r="M55" s="49">
        <v>16</v>
      </c>
      <c r="N55" s="49">
        <v>16</v>
      </c>
      <c r="O55" s="49">
        <v>16</v>
      </c>
      <c r="P55" s="49">
        <v>16</v>
      </c>
      <c r="Q55" s="49">
        <v>16</v>
      </c>
      <c r="R55" s="49">
        <v>16</v>
      </c>
      <c r="S55" s="49">
        <v>19.399999999999999</v>
      </c>
      <c r="T55" s="49">
        <v>20</v>
      </c>
    </row>
    <row r="56" spans="1:20" s="53" customFormat="1" ht="15.75" customHeight="1" x14ac:dyDescent="0.25">
      <c r="A56" s="50">
        <v>1962</v>
      </c>
      <c r="B56" s="50">
        <v>12</v>
      </c>
      <c r="C56" s="51">
        <f t="shared" si="0"/>
        <v>26.133333333333336</v>
      </c>
      <c r="D56" s="51">
        <f t="shared" si="1"/>
        <v>313.60000000000002</v>
      </c>
      <c r="E56" s="49">
        <v>361.6</v>
      </c>
      <c r="F56" s="49">
        <f t="shared" si="2"/>
        <v>13.836734693877551</v>
      </c>
      <c r="G56" s="52">
        <f t="shared" si="3"/>
        <v>7.2271386430678472E-2</v>
      </c>
      <c r="I56" s="49">
        <v>20</v>
      </c>
      <c r="J56" s="49">
        <v>20</v>
      </c>
      <c r="K56" s="49">
        <v>20</v>
      </c>
      <c r="L56" s="49">
        <v>20</v>
      </c>
      <c r="M56" s="49">
        <v>20</v>
      </c>
      <c r="N56" s="49">
        <v>20</v>
      </c>
      <c r="O56" s="49">
        <v>48.1</v>
      </c>
      <c r="P56" s="49">
        <v>50</v>
      </c>
      <c r="Q56" s="49">
        <v>49</v>
      </c>
      <c r="R56" s="49">
        <v>20</v>
      </c>
      <c r="S56" s="49">
        <v>13.5</v>
      </c>
      <c r="T56" s="49">
        <v>13</v>
      </c>
    </row>
    <row r="57" spans="1:20" s="53" customFormat="1" ht="15.75" customHeight="1" x14ac:dyDescent="0.25">
      <c r="A57" s="50">
        <v>1963</v>
      </c>
      <c r="B57" s="50">
        <v>12</v>
      </c>
      <c r="C57" s="51">
        <f t="shared" si="0"/>
        <v>12.875</v>
      </c>
      <c r="D57" s="51">
        <f t="shared" si="1"/>
        <v>154.5</v>
      </c>
      <c r="E57" s="49">
        <v>361.6</v>
      </c>
      <c r="F57" s="49">
        <f t="shared" si="2"/>
        <v>28.085436893203884</v>
      </c>
      <c r="G57" s="52">
        <f t="shared" si="3"/>
        <v>3.5605641592920352E-2</v>
      </c>
      <c r="I57" s="49">
        <v>13</v>
      </c>
      <c r="J57" s="49">
        <v>12.6</v>
      </c>
      <c r="K57" s="49">
        <v>12</v>
      </c>
      <c r="L57" s="49">
        <v>12</v>
      </c>
      <c r="M57" s="49">
        <v>12</v>
      </c>
      <c r="N57" s="49">
        <v>12</v>
      </c>
      <c r="O57" s="49">
        <v>13</v>
      </c>
      <c r="P57" s="49">
        <v>13.9</v>
      </c>
      <c r="Q57" s="49">
        <v>13</v>
      </c>
      <c r="R57" s="49">
        <v>13</v>
      </c>
      <c r="S57" s="49">
        <v>14</v>
      </c>
      <c r="T57" s="49">
        <v>14</v>
      </c>
    </row>
    <row r="58" spans="1:20" s="53" customFormat="1" ht="15.75" customHeight="1" x14ac:dyDescent="0.25">
      <c r="A58" s="50">
        <v>1964</v>
      </c>
      <c r="B58" s="50">
        <v>12</v>
      </c>
      <c r="C58" s="51">
        <f t="shared" si="0"/>
        <v>18.041666666666668</v>
      </c>
      <c r="D58" s="51">
        <f t="shared" si="1"/>
        <v>216.5</v>
      </c>
      <c r="E58" s="49">
        <v>361.6</v>
      </c>
      <c r="F58" s="49">
        <f t="shared" si="2"/>
        <v>20.042494226327946</v>
      </c>
      <c r="G58" s="52">
        <f t="shared" si="3"/>
        <v>4.9893989675516226E-2</v>
      </c>
      <c r="I58" s="49">
        <v>14</v>
      </c>
      <c r="J58" s="49">
        <v>14</v>
      </c>
      <c r="K58" s="49">
        <v>14</v>
      </c>
      <c r="L58" s="49">
        <v>14</v>
      </c>
      <c r="M58" s="49">
        <v>14</v>
      </c>
      <c r="N58" s="49">
        <v>14.5</v>
      </c>
      <c r="O58" s="49">
        <v>30</v>
      </c>
      <c r="P58" s="49">
        <v>30</v>
      </c>
      <c r="Q58" s="49">
        <v>30</v>
      </c>
      <c r="R58" s="49">
        <v>14</v>
      </c>
      <c r="S58" s="49">
        <v>14</v>
      </c>
      <c r="T58" s="49">
        <v>14</v>
      </c>
    </row>
    <row r="59" spans="1:20" s="53" customFormat="1" ht="15.75" customHeight="1" x14ac:dyDescent="0.25">
      <c r="A59" s="50">
        <v>1965</v>
      </c>
      <c r="B59" s="50">
        <v>12</v>
      </c>
      <c r="C59" s="51">
        <f t="shared" si="0"/>
        <v>14.333333333333334</v>
      </c>
      <c r="D59" s="51">
        <f t="shared" si="1"/>
        <v>172</v>
      </c>
      <c r="E59" s="49">
        <v>361.6</v>
      </c>
      <c r="F59" s="49">
        <f t="shared" si="2"/>
        <v>25.227906976744187</v>
      </c>
      <c r="G59" s="52">
        <f t="shared" si="3"/>
        <v>3.9638643067846605E-2</v>
      </c>
      <c r="I59" s="49">
        <v>14</v>
      </c>
      <c r="J59" s="49">
        <v>14</v>
      </c>
      <c r="K59" s="49">
        <v>14</v>
      </c>
      <c r="L59" s="49">
        <v>14</v>
      </c>
      <c r="M59" s="49">
        <v>14</v>
      </c>
      <c r="N59" s="49">
        <v>14</v>
      </c>
      <c r="O59" s="49">
        <v>14</v>
      </c>
      <c r="P59" s="49">
        <v>14</v>
      </c>
      <c r="Q59" s="49">
        <v>14</v>
      </c>
      <c r="R59" s="49">
        <v>14</v>
      </c>
      <c r="S59" s="49">
        <v>14</v>
      </c>
      <c r="T59" s="49">
        <v>18</v>
      </c>
    </row>
    <row r="60" spans="1:20" s="53" customFormat="1" ht="15.75" customHeight="1" x14ac:dyDescent="0.25">
      <c r="A60" s="50">
        <v>1966</v>
      </c>
      <c r="B60" s="50">
        <v>12</v>
      </c>
      <c r="C60" s="51">
        <f t="shared" si="0"/>
        <v>24.099999999999998</v>
      </c>
      <c r="D60" s="51">
        <f t="shared" si="1"/>
        <v>289.2</v>
      </c>
      <c r="E60" s="49">
        <v>361.6</v>
      </c>
      <c r="F60" s="49">
        <f t="shared" si="2"/>
        <v>15.004149377593363</v>
      </c>
      <c r="G60" s="52">
        <f t="shared" si="3"/>
        <v>6.6648230088495561E-2</v>
      </c>
      <c r="I60" s="49">
        <v>18</v>
      </c>
      <c r="J60" s="49">
        <v>18</v>
      </c>
      <c r="K60" s="49">
        <v>18</v>
      </c>
      <c r="L60" s="49">
        <v>18</v>
      </c>
      <c r="M60" s="49">
        <v>18</v>
      </c>
      <c r="N60" s="49">
        <v>18</v>
      </c>
      <c r="O60" s="49">
        <v>40.6</v>
      </c>
      <c r="P60" s="49">
        <v>43.5</v>
      </c>
      <c r="Q60" s="49">
        <v>43.1</v>
      </c>
      <c r="R60" s="49">
        <v>18</v>
      </c>
      <c r="S60" s="49">
        <v>18</v>
      </c>
      <c r="T60" s="49">
        <v>18</v>
      </c>
    </row>
    <row r="61" spans="1:20" s="53" customFormat="1" ht="15.75" customHeight="1" x14ac:dyDescent="0.25">
      <c r="A61" s="50">
        <v>1967</v>
      </c>
      <c r="B61" s="50">
        <v>12</v>
      </c>
      <c r="C61" s="51">
        <f t="shared" si="0"/>
        <v>17.025000000000002</v>
      </c>
      <c r="D61" s="51">
        <f t="shared" si="1"/>
        <v>204.3</v>
      </c>
      <c r="E61" s="49">
        <v>361.6</v>
      </c>
      <c r="F61" s="49">
        <f t="shared" si="2"/>
        <v>21.239353891336268</v>
      </c>
      <c r="G61" s="52">
        <f t="shared" si="3"/>
        <v>4.7082411504424784E-2</v>
      </c>
      <c r="I61" s="49">
        <v>17</v>
      </c>
      <c r="J61" s="49">
        <v>17</v>
      </c>
      <c r="K61" s="49">
        <v>17</v>
      </c>
      <c r="L61" s="49">
        <v>17</v>
      </c>
      <c r="M61" s="49">
        <v>17</v>
      </c>
      <c r="N61" s="49">
        <v>17</v>
      </c>
      <c r="O61" s="49">
        <v>17</v>
      </c>
      <c r="P61" s="49">
        <v>17</v>
      </c>
      <c r="Q61" s="49">
        <v>17</v>
      </c>
      <c r="R61" s="49">
        <v>17</v>
      </c>
      <c r="S61" s="49">
        <v>17</v>
      </c>
      <c r="T61" s="49">
        <v>17.3</v>
      </c>
    </row>
    <row r="62" spans="1:20" s="53" customFormat="1" ht="15.75" customHeight="1" x14ac:dyDescent="0.25">
      <c r="A62" s="50">
        <v>1968</v>
      </c>
      <c r="B62" s="50">
        <v>12</v>
      </c>
      <c r="C62" s="51">
        <f t="shared" si="0"/>
        <v>28.291666666666668</v>
      </c>
      <c r="D62" s="51">
        <f t="shared" si="1"/>
        <v>339.5</v>
      </c>
      <c r="E62" s="49">
        <v>361.6</v>
      </c>
      <c r="F62" s="49">
        <f t="shared" si="2"/>
        <v>12.781148748159058</v>
      </c>
      <c r="G62" s="52">
        <f t="shared" si="3"/>
        <v>7.8240228613569315E-2</v>
      </c>
      <c r="I62" s="49">
        <v>22</v>
      </c>
      <c r="J62" s="49">
        <v>22</v>
      </c>
      <c r="K62" s="49">
        <v>22</v>
      </c>
      <c r="L62" s="49">
        <v>22</v>
      </c>
      <c r="M62" s="49">
        <v>22</v>
      </c>
      <c r="N62" s="49">
        <v>22</v>
      </c>
      <c r="O62" s="49">
        <v>48</v>
      </c>
      <c r="P62" s="49">
        <v>48</v>
      </c>
      <c r="Q62" s="49">
        <v>46.3</v>
      </c>
      <c r="R62" s="49">
        <v>22</v>
      </c>
      <c r="S62" s="49">
        <v>22</v>
      </c>
      <c r="T62" s="49">
        <v>21.2</v>
      </c>
    </row>
    <row r="63" spans="1:20" s="53" customFormat="1" ht="15.75" customHeight="1" x14ac:dyDescent="0.25">
      <c r="A63" s="50">
        <v>1969</v>
      </c>
      <c r="B63" s="50">
        <v>12</v>
      </c>
      <c r="C63" s="51">
        <f t="shared" si="0"/>
        <v>17.166666666666668</v>
      </c>
      <c r="D63" s="51">
        <f t="shared" si="1"/>
        <v>206</v>
      </c>
      <c r="E63" s="49">
        <v>361.6</v>
      </c>
      <c r="F63" s="49">
        <f t="shared" si="2"/>
        <v>21.064077669902911</v>
      </c>
      <c r="G63" s="52">
        <f t="shared" si="3"/>
        <v>4.7474188790560472E-2</v>
      </c>
      <c r="I63" s="49">
        <v>17</v>
      </c>
      <c r="J63" s="49">
        <v>17</v>
      </c>
      <c r="K63" s="49">
        <v>17</v>
      </c>
      <c r="L63" s="49">
        <v>17</v>
      </c>
      <c r="M63" s="49">
        <v>17</v>
      </c>
      <c r="N63" s="49">
        <v>17</v>
      </c>
      <c r="O63" s="49">
        <v>17</v>
      </c>
      <c r="P63" s="49">
        <v>17</v>
      </c>
      <c r="Q63" s="49">
        <v>17</v>
      </c>
      <c r="R63" s="49">
        <v>16</v>
      </c>
      <c r="S63" s="49">
        <v>16</v>
      </c>
      <c r="T63" s="49">
        <v>21</v>
      </c>
    </row>
    <row r="64" spans="1:20" s="53" customFormat="1" ht="15.75" customHeight="1" x14ac:dyDescent="0.25">
      <c r="A64" s="50">
        <v>1970</v>
      </c>
      <c r="B64" s="50">
        <v>12</v>
      </c>
      <c r="C64" s="51">
        <f t="shared" si="0"/>
        <v>25.025000000000002</v>
      </c>
      <c r="D64" s="51">
        <f t="shared" si="1"/>
        <v>300.3</v>
      </c>
      <c r="E64" s="49">
        <v>361.6</v>
      </c>
      <c r="F64" s="49">
        <f t="shared" si="2"/>
        <v>14.449550449550449</v>
      </c>
      <c r="G64" s="52">
        <f t="shared" si="3"/>
        <v>6.9206305309734512E-2</v>
      </c>
      <c r="I64" s="49">
        <v>21</v>
      </c>
      <c r="J64" s="49">
        <v>21</v>
      </c>
      <c r="K64" s="49">
        <v>21</v>
      </c>
      <c r="L64" s="49">
        <v>21</v>
      </c>
      <c r="M64" s="49">
        <v>21</v>
      </c>
      <c r="N64" s="49">
        <v>21</v>
      </c>
      <c r="O64" s="49">
        <v>38.4</v>
      </c>
      <c r="P64" s="49">
        <v>41</v>
      </c>
      <c r="Q64" s="49">
        <v>40.299999999999997</v>
      </c>
      <c r="R64" s="49">
        <v>20.6</v>
      </c>
      <c r="S64" s="49">
        <v>17</v>
      </c>
      <c r="T64" s="49">
        <v>17</v>
      </c>
    </row>
    <row r="65" spans="1:20" s="53" customFormat="1" ht="15.75" customHeight="1" x14ac:dyDescent="0.25">
      <c r="A65" s="50">
        <v>1971</v>
      </c>
      <c r="B65" s="50">
        <v>12</v>
      </c>
      <c r="C65" s="51">
        <f t="shared" si="0"/>
        <v>17</v>
      </c>
      <c r="D65" s="51">
        <f t="shared" si="1"/>
        <v>204</v>
      </c>
      <c r="E65" s="49">
        <v>361.6</v>
      </c>
      <c r="F65" s="49">
        <f t="shared" si="2"/>
        <v>21.27058823529412</v>
      </c>
      <c r="G65" s="52">
        <f t="shared" si="3"/>
        <v>4.7013274336283183E-2</v>
      </c>
      <c r="I65" s="49">
        <v>17</v>
      </c>
      <c r="J65" s="49">
        <v>17</v>
      </c>
      <c r="K65" s="49">
        <v>17</v>
      </c>
      <c r="L65" s="49">
        <v>17</v>
      </c>
      <c r="M65" s="49">
        <v>17</v>
      </c>
      <c r="N65" s="49">
        <v>17</v>
      </c>
      <c r="O65" s="49">
        <v>17</v>
      </c>
      <c r="P65" s="49">
        <v>17</v>
      </c>
      <c r="Q65" s="49">
        <v>17</v>
      </c>
      <c r="R65" s="49">
        <v>17</v>
      </c>
      <c r="S65" s="49">
        <v>17</v>
      </c>
      <c r="T65" s="49">
        <v>17</v>
      </c>
    </row>
    <row r="66" spans="1:20" s="53" customFormat="1" ht="15.75" customHeight="1" x14ac:dyDescent="0.25">
      <c r="A66" s="50">
        <v>1972</v>
      </c>
      <c r="B66" s="50">
        <v>12</v>
      </c>
      <c r="C66" s="51">
        <f t="shared" si="0"/>
        <v>25.333333333333332</v>
      </c>
      <c r="D66" s="51">
        <f t="shared" si="1"/>
        <v>304</v>
      </c>
      <c r="E66" s="49">
        <v>361.6</v>
      </c>
      <c r="F66" s="49">
        <f t="shared" si="2"/>
        <v>14.273684210526318</v>
      </c>
      <c r="G66" s="52">
        <f t="shared" si="3"/>
        <v>7.0058997050147481E-2</v>
      </c>
      <c r="I66" s="49">
        <v>17</v>
      </c>
      <c r="J66" s="49">
        <v>17</v>
      </c>
      <c r="K66" s="49">
        <v>17</v>
      </c>
      <c r="L66" s="49">
        <v>17</v>
      </c>
      <c r="M66" s="49">
        <v>17</v>
      </c>
      <c r="N66" s="49">
        <v>17</v>
      </c>
      <c r="O66" s="49">
        <v>42</v>
      </c>
      <c r="P66" s="49">
        <v>42</v>
      </c>
      <c r="Q66" s="49">
        <v>42</v>
      </c>
      <c r="R66" s="49">
        <v>42</v>
      </c>
      <c r="S66" s="49">
        <v>17</v>
      </c>
      <c r="T66" s="49">
        <v>17</v>
      </c>
    </row>
    <row r="67" spans="1:20" s="53" customFormat="1" ht="15.75" customHeight="1" x14ac:dyDescent="0.25">
      <c r="A67" s="50">
        <v>1973</v>
      </c>
      <c r="B67" s="50">
        <v>12</v>
      </c>
      <c r="C67" s="51">
        <f t="shared" si="0"/>
        <v>17.333333333333332</v>
      </c>
      <c r="D67" s="51">
        <f t="shared" si="1"/>
        <v>208</v>
      </c>
      <c r="E67" s="49">
        <v>361.6</v>
      </c>
      <c r="F67" s="49">
        <f t="shared" si="2"/>
        <v>20.861538461538466</v>
      </c>
      <c r="G67" s="52">
        <f t="shared" si="3"/>
        <v>4.7935103244837754E-2</v>
      </c>
      <c r="I67" s="49">
        <v>17</v>
      </c>
      <c r="J67" s="49">
        <v>17</v>
      </c>
      <c r="K67" s="49">
        <v>17</v>
      </c>
      <c r="L67" s="49">
        <v>17</v>
      </c>
      <c r="M67" s="49">
        <v>18</v>
      </c>
      <c r="N67" s="49">
        <v>18</v>
      </c>
      <c r="O67" s="49">
        <v>18</v>
      </c>
      <c r="P67" s="49">
        <v>18</v>
      </c>
      <c r="Q67" s="49">
        <v>18</v>
      </c>
      <c r="R67" s="49">
        <v>18</v>
      </c>
      <c r="S67" s="49">
        <v>16</v>
      </c>
      <c r="T67" s="49">
        <v>16</v>
      </c>
    </row>
    <row r="68" spans="1:20" s="53" customFormat="1" ht="15.75" customHeight="1" x14ac:dyDescent="0.25">
      <c r="A68" s="50">
        <v>1974</v>
      </c>
      <c r="B68" s="50">
        <v>12</v>
      </c>
      <c r="C68" s="51">
        <f t="shared" ref="C68:C104" si="4">D68/B68</f>
        <v>16.258333333333333</v>
      </c>
      <c r="D68" s="51">
        <f t="shared" ref="D68:D104" si="5">SUM(I68:T68)</f>
        <v>195.1</v>
      </c>
      <c r="E68" s="49">
        <v>361.6</v>
      </c>
      <c r="F68" s="49">
        <f t="shared" ref="F68:F104" si="6">E68/C68</f>
        <v>22.240902101486419</v>
      </c>
      <c r="G68" s="52">
        <f t="shared" ref="G68:G104" si="7">C68/E68</f>
        <v>4.4962205014749256E-2</v>
      </c>
      <c r="I68" s="49">
        <v>16</v>
      </c>
      <c r="J68" s="49">
        <v>16</v>
      </c>
      <c r="K68" s="49">
        <v>16</v>
      </c>
      <c r="L68" s="49">
        <v>16</v>
      </c>
      <c r="M68" s="49">
        <v>16</v>
      </c>
      <c r="N68" s="49">
        <v>16</v>
      </c>
      <c r="O68" s="49">
        <v>16</v>
      </c>
      <c r="P68" s="49">
        <v>16</v>
      </c>
      <c r="Q68" s="49">
        <v>16</v>
      </c>
      <c r="R68" s="49">
        <v>16</v>
      </c>
      <c r="S68" s="49">
        <v>16.100000000000001</v>
      </c>
      <c r="T68" s="49">
        <v>19</v>
      </c>
    </row>
    <row r="69" spans="1:20" s="53" customFormat="1" ht="15.75" customHeight="1" x14ac:dyDescent="0.25">
      <c r="A69" s="50">
        <v>1975</v>
      </c>
      <c r="B69" s="50">
        <v>12</v>
      </c>
      <c r="C69" s="51">
        <f t="shared" si="4"/>
        <v>18.8</v>
      </c>
      <c r="D69" s="51">
        <f t="shared" si="5"/>
        <v>225.6</v>
      </c>
      <c r="E69" s="49">
        <v>361.6</v>
      </c>
      <c r="F69" s="49">
        <f t="shared" si="6"/>
        <v>19.23404255319149</v>
      </c>
      <c r="G69" s="52">
        <f t="shared" si="7"/>
        <v>5.1991150442477874E-2</v>
      </c>
      <c r="I69" s="49">
        <v>19</v>
      </c>
      <c r="J69" s="49">
        <v>19</v>
      </c>
      <c r="K69" s="49">
        <v>19</v>
      </c>
      <c r="L69" s="49">
        <v>18.899999999999999</v>
      </c>
      <c r="M69" s="49">
        <v>18</v>
      </c>
      <c r="N69" s="49">
        <v>18.8</v>
      </c>
      <c r="O69" s="49">
        <v>19</v>
      </c>
      <c r="P69" s="49">
        <v>19</v>
      </c>
      <c r="Q69" s="49">
        <v>19</v>
      </c>
      <c r="R69" s="49">
        <v>19</v>
      </c>
      <c r="S69" s="49">
        <v>17.899999999999999</v>
      </c>
      <c r="T69" s="49">
        <v>19</v>
      </c>
    </row>
    <row r="70" spans="1:20" s="53" customFormat="1" ht="15.75" customHeight="1" x14ac:dyDescent="0.25">
      <c r="A70" s="50">
        <v>1976</v>
      </c>
      <c r="B70" s="50">
        <v>12</v>
      </c>
      <c r="C70" s="51">
        <f t="shared" si="4"/>
        <v>9.6</v>
      </c>
      <c r="D70" s="51">
        <f t="shared" si="5"/>
        <v>115.2</v>
      </c>
      <c r="E70" s="49">
        <v>361.6</v>
      </c>
      <c r="F70" s="49">
        <f t="shared" si="6"/>
        <v>37.666666666666671</v>
      </c>
      <c r="G70" s="52">
        <f t="shared" si="7"/>
        <v>2.6548672566371678E-2</v>
      </c>
      <c r="I70" s="49">
        <v>19.600000000000001</v>
      </c>
      <c r="J70" s="49">
        <v>19</v>
      </c>
      <c r="K70" s="49">
        <v>19.600000000000001</v>
      </c>
      <c r="L70" s="49">
        <v>19</v>
      </c>
      <c r="M70" s="49">
        <v>19</v>
      </c>
      <c r="N70" s="49">
        <v>19</v>
      </c>
      <c r="O70" s="49"/>
      <c r="P70" s="49"/>
      <c r="Q70" s="49"/>
      <c r="R70" s="49"/>
      <c r="S70" s="49"/>
      <c r="T70" s="49"/>
    </row>
    <row r="71" spans="1:20" s="53" customFormat="1" ht="15.75" customHeight="1" x14ac:dyDescent="0.25">
      <c r="A71" s="50">
        <v>1977</v>
      </c>
      <c r="B71" s="50"/>
      <c r="C71" s="51"/>
      <c r="D71" s="51"/>
      <c r="E71" s="49">
        <v>361.6</v>
      </c>
      <c r="F71" s="49"/>
      <c r="G71" s="52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1:20" s="53" customFormat="1" ht="15.75" customHeight="1" x14ac:dyDescent="0.25">
      <c r="A72" s="50">
        <v>1978</v>
      </c>
      <c r="B72" s="50"/>
      <c r="C72" s="51"/>
      <c r="D72" s="51"/>
      <c r="E72" s="49">
        <v>361.6</v>
      </c>
      <c r="F72" s="49"/>
      <c r="G72" s="52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1:20" s="53" customFormat="1" ht="15.75" customHeight="1" x14ac:dyDescent="0.25">
      <c r="A73" s="50">
        <v>1979</v>
      </c>
      <c r="B73" s="50"/>
      <c r="C73" s="51"/>
      <c r="D73" s="51"/>
      <c r="E73" s="49">
        <v>361.6</v>
      </c>
      <c r="F73" s="49"/>
      <c r="G73" s="52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1:20" s="53" customFormat="1" ht="15.75" customHeight="1" x14ac:dyDescent="0.25">
      <c r="A74" s="50">
        <v>1980</v>
      </c>
      <c r="B74" s="50"/>
      <c r="C74" s="51"/>
      <c r="D74" s="51"/>
      <c r="E74" s="49">
        <v>361.6</v>
      </c>
      <c r="F74" s="49"/>
      <c r="G74" s="52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1:20" s="53" customFormat="1" ht="15.75" customHeight="1" x14ac:dyDescent="0.25">
      <c r="A75" s="50">
        <v>1981</v>
      </c>
      <c r="B75" s="50"/>
      <c r="C75" s="51"/>
      <c r="D75" s="51"/>
      <c r="E75" s="49">
        <v>361.6</v>
      </c>
      <c r="F75" s="49"/>
      <c r="G75" s="52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1:20" s="53" customFormat="1" ht="15.75" customHeight="1" x14ac:dyDescent="0.25">
      <c r="A76" s="50">
        <v>1982</v>
      </c>
      <c r="B76" s="50"/>
      <c r="C76" s="51"/>
      <c r="D76" s="51"/>
      <c r="E76" s="49">
        <v>361.6</v>
      </c>
      <c r="F76" s="49"/>
      <c r="G76" s="52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1:20" s="53" customFormat="1" ht="15.75" customHeight="1" x14ac:dyDescent="0.25">
      <c r="A77" s="50">
        <v>1983</v>
      </c>
      <c r="B77" s="50">
        <v>12</v>
      </c>
      <c r="C77" s="51">
        <f t="shared" si="4"/>
        <v>3.4166666666666665</v>
      </c>
      <c r="D77" s="51">
        <f t="shared" si="5"/>
        <v>41</v>
      </c>
      <c r="E77" s="49">
        <v>361.6</v>
      </c>
      <c r="F77" s="49">
        <f t="shared" si="6"/>
        <v>105.83414634146342</v>
      </c>
      <c r="G77" s="52">
        <f t="shared" si="7"/>
        <v>9.4487463126843654E-3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>
        <v>20.5</v>
      </c>
      <c r="T77" s="49">
        <v>20.5</v>
      </c>
    </row>
    <row r="78" spans="1:20" s="53" customFormat="1" ht="15.75" customHeight="1" x14ac:dyDescent="0.25">
      <c r="A78" s="50">
        <v>1984</v>
      </c>
      <c r="B78" s="50">
        <v>12</v>
      </c>
      <c r="C78" s="51">
        <f t="shared" si="4"/>
        <v>20.5</v>
      </c>
      <c r="D78" s="51">
        <f t="shared" si="5"/>
        <v>246</v>
      </c>
      <c r="E78" s="49">
        <v>361.6</v>
      </c>
      <c r="F78" s="49">
        <f t="shared" si="6"/>
        <v>17.639024390243904</v>
      </c>
      <c r="G78" s="52">
        <f t="shared" si="7"/>
        <v>5.6692477876106193E-2</v>
      </c>
      <c r="I78" s="49">
        <v>20.5</v>
      </c>
      <c r="J78" s="49">
        <v>20.5</v>
      </c>
      <c r="K78" s="49">
        <v>20.5</v>
      </c>
      <c r="L78" s="49">
        <v>20.5</v>
      </c>
      <c r="M78" s="49">
        <v>20.5</v>
      </c>
      <c r="N78" s="49">
        <v>20.5</v>
      </c>
      <c r="O78" s="49">
        <v>20.5</v>
      </c>
      <c r="P78" s="49">
        <v>20.5</v>
      </c>
      <c r="Q78" s="49">
        <v>20.5</v>
      </c>
      <c r="R78" s="49">
        <v>20.5</v>
      </c>
      <c r="S78" s="49">
        <v>20.5</v>
      </c>
      <c r="T78" s="49">
        <v>20.5</v>
      </c>
    </row>
    <row r="79" spans="1:20" s="53" customFormat="1" ht="15.75" customHeight="1" x14ac:dyDescent="0.25">
      <c r="A79" s="50">
        <v>1985</v>
      </c>
      <c r="B79" s="50">
        <v>12</v>
      </c>
      <c r="C79" s="51">
        <f t="shared" si="4"/>
        <v>20.5</v>
      </c>
      <c r="D79" s="51">
        <f t="shared" si="5"/>
        <v>246</v>
      </c>
      <c r="E79" s="49">
        <v>361.6</v>
      </c>
      <c r="F79" s="49">
        <f t="shared" si="6"/>
        <v>17.639024390243904</v>
      </c>
      <c r="G79" s="52">
        <f t="shared" si="7"/>
        <v>5.6692477876106193E-2</v>
      </c>
      <c r="I79" s="49">
        <v>20.5</v>
      </c>
      <c r="J79" s="49">
        <v>20.5</v>
      </c>
      <c r="K79" s="49">
        <v>20.5</v>
      </c>
      <c r="L79" s="49">
        <v>20.5</v>
      </c>
      <c r="M79" s="49">
        <v>20.5</v>
      </c>
      <c r="N79" s="49">
        <v>20.5</v>
      </c>
      <c r="O79" s="49">
        <v>20.5</v>
      </c>
      <c r="P79" s="49">
        <v>20.5</v>
      </c>
      <c r="Q79" s="49">
        <v>20.5</v>
      </c>
      <c r="R79" s="49">
        <v>20.5</v>
      </c>
      <c r="S79" s="49">
        <v>20.5</v>
      </c>
      <c r="T79" s="49">
        <v>20.5</v>
      </c>
    </row>
    <row r="80" spans="1:20" s="53" customFormat="1" ht="15.75" customHeight="1" x14ac:dyDescent="0.25">
      <c r="A80" s="50">
        <v>1986</v>
      </c>
      <c r="B80" s="50">
        <v>12</v>
      </c>
      <c r="C80" s="51">
        <f t="shared" si="4"/>
        <v>20.5</v>
      </c>
      <c r="D80" s="51">
        <f t="shared" si="5"/>
        <v>246</v>
      </c>
      <c r="E80" s="49">
        <v>361.6</v>
      </c>
      <c r="F80" s="49">
        <f t="shared" si="6"/>
        <v>17.639024390243904</v>
      </c>
      <c r="G80" s="52">
        <f t="shared" si="7"/>
        <v>5.6692477876106193E-2</v>
      </c>
      <c r="I80" s="49">
        <v>20.5</v>
      </c>
      <c r="J80" s="49">
        <v>20.5</v>
      </c>
      <c r="K80" s="49">
        <v>20.5</v>
      </c>
      <c r="L80" s="49">
        <v>20.5</v>
      </c>
      <c r="M80" s="49">
        <v>20.5</v>
      </c>
      <c r="N80" s="49">
        <v>20.5</v>
      </c>
      <c r="O80" s="49">
        <v>20.5</v>
      </c>
      <c r="P80" s="49">
        <v>20.5</v>
      </c>
      <c r="Q80" s="49">
        <v>20.5</v>
      </c>
      <c r="R80" s="49">
        <v>20.5</v>
      </c>
      <c r="S80" s="49">
        <v>20.5</v>
      </c>
      <c r="T80" s="49">
        <v>20.5</v>
      </c>
    </row>
    <row r="81" spans="1:20" s="53" customFormat="1" ht="15.75" customHeight="1" x14ac:dyDescent="0.25">
      <c r="A81" s="50">
        <v>1987</v>
      </c>
      <c r="B81" s="50">
        <v>12</v>
      </c>
      <c r="C81" s="51">
        <f t="shared" si="4"/>
        <v>20.5</v>
      </c>
      <c r="D81" s="51">
        <f t="shared" si="5"/>
        <v>246</v>
      </c>
      <c r="E81" s="49">
        <v>361.6</v>
      </c>
      <c r="F81" s="49">
        <f t="shared" si="6"/>
        <v>17.639024390243904</v>
      </c>
      <c r="G81" s="52">
        <f t="shared" si="7"/>
        <v>5.6692477876106193E-2</v>
      </c>
      <c r="I81" s="49">
        <v>20.5</v>
      </c>
      <c r="J81" s="49">
        <v>20.5</v>
      </c>
      <c r="K81" s="49">
        <v>20.5</v>
      </c>
      <c r="L81" s="49">
        <v>20.5</v>
      </c>
      <c r="M81" s="49">
        <v>20.5</v>
      </c>
      <c r="N81" s="49">
        <v>20.5</v>
      </c>
      <c r="O81" s="49">
        <v>20.5</v>
      </c>
      <c r="P81" s="49">
        <v>20.5</v>
      </c>
      <c r="Q81" s="49">
        <v>20.5</v>
      </c>
      <c r="R81" s="49">
        <v>20.5</v>
      </c>
      <c r="S81" s="49">
        <v>20.5</v>
      </c>
      <c r="T81" s="49">
        <v>20.5</v>
      </c>
    </row>
    <row r="82" spans="1:20" s="53" customFormat="1" ht="15.75" customHeight="1" x14ac:dyDescent="0.25">
      <c r="A82" s="50">
        <v>1988</v>
      </c>
      <c r="B82" s="50">
        <v>12</v>
      </c>
      <c r="C82" s="51">
        <f t="shared" si="4"/>
        <v>23.558333333333334</v>
      </c>
      <c r="D82" s="51">
        <f t="shared" si="5"/>
        <v>282.7</v>
      </c>
      <c r="E82" s="49">
        <v>361.6</v>
      </c>
      <c r="F82" s="49">
        <f t="shared" si="6"/>
        <v>15.349133356915459</v>
      </c>
      <c r="G82" s="52">
        <f t="shared" si="7"/>
        <v>6.5150258112094392E-2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75.7</v>
      </c>
      <c r="P82" s="49">
        <v>138</v>
      </c>
      <c r="Q82" s="49">
        <v>69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1989</v>
      </c>
      <c r="B83" s="50">
        <v>12</v>
      </c>
      <c r="C83" s="51">
        <f t="shared" si="4"/>
        <v>29.133333333333336</v>
      </c>
      <c r="D83" s="51">
        <f t="shared" si="5"/>
        <v>349.6</v>
      </c>
      <c r="E83" s="49">
        <v>361.6</v>
      </c>
      <c r="F83" s="49">
        <f t="shared" si="6"/>
        <v>12.411899313501143</v>
      </c>
      <c r="G83" s="52">
        <f t="shared" si="7"/>
        <v>8.0567846607669621E-2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73.599999999999994</v>
      </c>
      <c r="O83" s="49">
        <v>138</v>
      </c>
      <c r="P83" s="49">
        <v>138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1990</v>
      </c>
      <c r="B84" s="50">
        <v>12</v>
      </c>
      <c r="C84" s="51">
        <f t="shared" si="4"/>
        <v>19</v>
      </c>
      <c r="D84" s="51">
        <f t="shared" si="5"/>
        <v>228</v>
      </c>
      <c r="E84" s="49">
        <v>361.6</v>
      </c>
      <c r="F84" s="49">
        <f t="shared" si="6"/>
        <v>19.031578947368423</v>
      </c>
      <c r="G84" s="52">
        <f t="shared" si="7"/>
        <v>5.2544247787610618E-2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114</v>
      </c>
      <c r="R84" s="49">
        <v>114</v>
      </c>
      <c r="S84" s="49">
        <v>0</v>
      </c>
      <c r="T84" s="49">
        <v>0</v>
      </c>
    </row>
    <row r="85" spans="1:20" s="53" customFormat="1" ht="15.75" customHeight="1" x14ac:dyDescent="0.25">
      <c r="A85" s="50">
        <v>1991</v>
      </c>
      <c r="B85" s="50">
        <v>12</v>
      </c>
      <c r="C85" s="51">
        <f t="shared" si="4"/>
        <v>0</v>
      </c>
      <c r="D85" s="51">
        <f t="shared" si="5"/>
        <v>0</v>
      </c>
      <c r="E85" s="49">
        <v>361.6</v>
      </c>
      <c r="F85" s="49" t="e">
        <f t="shared" si="6"/>
        <v>#DIV/0!</v>
      </c>
      <c r="G85" s="52">
        <f t="shared" si="7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1992</v>
      </c>
      <c r="B86" s="50">
        <v>12</v>
      </c>
      <c r="C86" s="51">
        <f t="shared" si="4"/>
        <v>30.716666666666669</v>
      </c>
      <c r="D86" s="51">
        <f t="shared" si="5"/>
        <v>368.6</v>
      </c>
      <c r="E86" s="49">
        <v>361.6</v>
      </c>
      <c r="F86" s="49">
        <f t="shared" si="6"/>
        <v>11.772110689093868</v>
      </c>
      <c r="G86" s="52">
        <f t="shared" si="7"/>
        <v>8.4946533923303841E-2</v>
      </c>
      <c r="I86" s="49">
        <v>0</v>
      </c>
      <c r="J86" s="49">
        <v>0</v>
      </c>
      <c r="K86" s="49">
        <v>0</v>
      </c>
      <c r="L86" s="49">
        <v>77.599999999999994</v>
      </c>
      <c r="M86" s="49">
        <v>145.5</v>
      </c>
      <c r="N86" s="49">
        <v>145.5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1993</v>
      </c>
      <c r="B87" s="50">
        <v>12</v>
      </c>
      <c r="C87" s="51">
        <f t="shared" si="4"/>
        <v>28.75</v>
      </c>
      <c r="D87" s="51">
        <f t="shared" si="5"/>
        <v>345</v>
      </c>
      <c r="E87" s="49">
        <v>361.6</v>
      </c>
      <c r="F87" s="49">
        <f t="shared" si="6"/>
        <v>12.577391304347827</v>
      </c>
      <c r="G87" s="52">
        <f t="shared" si="7"/>
        <v>7.9507743362831854E-2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69</v>
      </c>
      <c r="O87" s="49">
        <v>138</v>
      </c>
      <c r="P87" s="49">
        <v>138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1994</v>
      </c>
      <c r="B88" s="50">
        <v>12</v>
      </c>
      <c r="C88" s="51">
        <f t="shared" si="4"/>
        <v>23</v>
      </c>
      <c r="D88" s="51">
        <f t="shared" si="5"/>
        <v>276</v>
      </c>
      <c r="E88" s="49">
        <v>361.6</v>
      </c>
      <c r="F88" s="49">
        <f t="shared" si="6"/>
        <v>15.721739130434784</v>
      </c>
      <c r="G88" s="52">
        <f t="shared" si="7"/>
        <v>6.3606194690265488E-2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138</v>
      </c>
      <c r="R88" s="49">
        <v>138</v>
      </c>
      <c r="S88" s="49">
        <v>0</v>
      </c>
      <c r="T88" s="49">
        <v>0</v>
      </c>
    </row>
    <row r="89" spans="1:20" s="53" customFormat="1" ht="15.75" customHeight="1" x14ac:dyDescent="0.25">
      <c r="A89" s="50">
        <v>1995</v>
      </c>
      <c r="B89" s="50">
        <v>12</v>
      </c>
      <c r="C89" s="51">
        <f t="shared" si="4"/>
        <v>0</v>
      </c>
      <c r="D89" s="51">
        <f t="shared" si="5"/>
        <v>0</v>
      </c>
      <c r="E89" s="49">
        <v>361.6</v>
      </c>
      <c r="F89" s="49" t="e">
        <f t="shared" si="6"/>
        <v>#DIV/0!</v>
      </c>
      <c r="G89" s="52">
        <f t="shared" si="7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1996</v>
      </c>
      <c r="B90" s="50">
        <v>12</v>
      </c>
      <c r="C90" s="51">
        <f t="shared" si="4"/>
        <v>30.316666666666666</v>
      </c>
      <c r="D90" s="51">
        <f t="shared" si="5"/>
        <v>363.8</v>
      </c>
      <c r="E90" s="49">
        <v>361.6</v>
      </c>
      <c r="F90" s="49">
        <f t="shared" si="6"/>
        <v>11.927432655305113</v>
      </c>
      <c r="G90" s="52">
        <f t="shared" si="7"/>
        <v>8.3840339233038338E-2</v>
      </c>
      <c r="I90" s="49">
        <v>0</v>
      </c>
      <c r="J90" s="49">
        <v>0</v>
      </c>
      <c r="K90" s="49">
        <v>0</v>
      </c>
      <c r="L90" s="49">
        <v>72.8</v>
      </c>
      <c r="M90" s="49">
        <v>145.5</v>
      </c>
      <c r="N90" s="49">
        <v>145.5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1997</v>
      </c>
      <c r="B91" s="50">
        <v>12</v>
      </c>
      <c r="C91" s="51">
        <f t="shared" si="4"/>
        <v>23</v>
      </c>
      <c r="D91" s="51">
        <f t="shared" si="5"/>
        <v>276</v>
      </c>
      <c r="E91" s="49">
        <v>361.6</v>
      </c>
      <c r="F91" s="49">
        <f t="shared" si="6"/>
        <v>15.721739130434784</v>
      </c>
      <c r="G91" s="52">
        <f t="shared" si="7"/>
        <v>6.3606194690265488E-2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138</v>
      </c>
      <c r="P91" s="49">
        <v>138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1998</v>
      </c>
      <c r="B92" s="50">
        <v>12</v>
      </c>
      <c r="C92" s="51">
        <f t="shared" si="4"/>
        <v>19.666666666666668</v>
      </c>
      <c r="D92" s="51">
        <f t="shared" si="5"/>
        <v>236</v>
      </c>
      <c r="E92" s="49">
        <v>361.6</v>
      </c>
      <c r="F92" s="49">
        <f t="shared" si="6"/>
        <v>18.386440677966103</v>
      </c>
      <c r="G92" s="52">
        <f t="shared" si="7"/>
        <v>5.4387905604719761E-2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118</v>
      </c>
      <c r="R92" s="49">
        <v>118</v>
      </c>
      <c r="S92" s="49">
        <v>0</v>
      </c>
      <c r="T92" s="49">
        <v>0</v>
      </c>
    </row>
    <row r="93" spans="1:20" s="53" customFormat="1" ht="15.75" customHeight="1" x14ac:dyDescent="0.25">
      <c r="A93" s="50">
        <v>1999</v>
      </c>
      <c r="B93" s="50">
        <v>12</v>
      </c>
      <c r="C93" s="51">
        <f t="shared" si="4"/>
        <v>0</v>
      </c>
      <c r="D93" s="51">
        <f t="shared" si="5"/>
        <v>0</v>
      </c>
      <c r="E93" s="49">
        <v>361.6</v>
      </c>
      <c r="F93" s="49" t="e">
        <f t="shared" si="6"/>
        <v>#DIV/0!</v>
      </c>
      <c r="G93" s="52">
        <f t="shared" si="7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2000</v>
      </c>
      <c r="B94" s="50">
        <v>12</v>
      </c>
      <c r="C94" s="51">
        <f t="shared" si="4"/>
        <v>30.191666666666666</v>
      </c>
      <c r="D94" s="51">
        <f t="shared" si="5"/>
        <v>362.3</v>
      </c>
      <c r="E94" s="49">
        <v>361.6</v>
      </c>
      <c r="F94" s="49">
        <f t="shared" si="6"/>
        <v>11.976814794369307</v>
      </c>
      <c r="G94" s="52">
        <f t="shared" si="7"/>
        <v>8.3494653392330379E-2</v>
      </c>
      <c r="I94" s="49">
        <v>0</v>
      </c>
      <c r="J94" s="49">
        <v>0</v>
      </c>
      <c r="K94" s="49">
        <v>74.3</v>
      </c>
      <c r="L94" s="49">
        <v>144</v>
      </c>
      <c r="M94" s="49">
        <v>144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2001</v>
      </c>
      <c r="B95" s="50">
        <v>12</v>
      </c>
      <c r="C95" s="51">
        <f t="shared" si="4"/>
        <v>22.75</v>
      </c>
      <c r="D95" s="51">
        <f t="shared" si="5"/>
        <v>273</v>
      </c>
      <c r="E95" s="49">
        <v>361.6</v>
      </c>
      <c r="F95" s="49">
        <f t="shared" si="6"/>
        <v>15.894505494505495</v>
      </c>
      <c r="G95" s="52">
        <f t="shared" si="7"/>
        <v>6.2914823008849555E-2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91</v>
      </c>
      <c r="O95" s="49">
        <v>91</v>
      </c>
      <c r="P95" s="49">
        <v>91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2002</v>
      </c>
      <c r="B96" s="50">
        <v>12</v>
      </c>
      <c r="C96" s="51">
        <f t="shared" si="4"/>
        <v>22.75</v>
      </c>
      <c r="D96" s="51">
        <f t="shared" si="5"/>
        <v>273</v>
      </c>
      <c r="E96" s="49">
        <v>361.6</v>
      </c>
      <c r="F96" s="49">
        <f t="shared" si="6"/>
        <v>15.894505494505495</v>
      </c>
      <c r="G96" s="52">
        <f t="shared" si="7"/>
        <v>6.2914823008849555E-2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91</v>
      </c>
      <c r="O96" s="49">
        <v>91</v>
      </c>
      <c r="P96" s="49">
        <v>91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2003</v>
      </c>
      <c r="B97" s="50">
        <v>12</v>
      </c>
      <c r="C97" s="51">
        <f t="shared" si="4"/>
        <v>0</v>
      </c>
      <c r="D97" s="51">
        <f t="shared" si="5"/>
        <v>0</v>
      </c>
      <c r="E97" s="49">
        <v>361.6</v>
      </c>
      <c r="F97" s="49" t="e">
        <f t="shared" si="6"/>
        <v>#DIV/0!</v>
      </c>
      <c r="G97" s="52">
        <f t="shared" si="7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2004</v>
      </c>
      <c r="B98" s="50">
        <v>12</v>
      </c>
      <c r="C98" s="51">
        <f t="shared" si="4"/>
        <v>20.75</v>
      </c>
      <c r="D98" s="51">
        <f t="shared" si="5"/>
        <v>249</v>
      </c>
      <c r="E98" s="49">
        <v>361.6</v>
      </c>
      <c r="F98" s="49">
        <f t="shared" si="6"/>
        <v>17.426506024096387</v>
      </c>
      <c r="G98" s="52">
        <f t="shared" si="7"/>
        <v>5.7383849557522119E-2</v>
      </c>
      <c r="I98" s="49">
        <v>0</v>
      </c>
      <c r="J98" s="49">
        <v>0</v>
      </c>
      <c r="K98" s="49">
        <v>0</v>
      </c>
      <c r="L98" s="49">
        <v>83</v>
      </c>
      <c r="M98" s="49">
        <v>83</v>
      </c>
      <c r="N98" s="49">
        <v>83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2005</v>
      </c>
      <c r="B99" s="50">
        <v>12</v>
      </c>
      <c r="C99" s="51">
        <f t="shared" si="4"/>
        <v>0</v>
      </c>
      <c r="D99" s="51">
        <f t="shared" si="5"/>
        <v>0</v>
      </c>
      <c r="E99" s="49">
        <v>361.6</v>
      </c>
      <c r="F99" s="49" t="e">
        <f t="shared" si="6"/>
        <v>#DIV/0!</v>
      </c>
      <c r="G99" s="52">
        <f t="shared" si="7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2006</v>
      </c>
      <c r="B100" s="50">
        <v>12</v>
      </c>
      <c r="C100" s="51">
        <f t="shared" si="4"/>
        <v>0</v>
      </c>
      <c r="D100" s="51">
        <f t="shared" si="5"/>
        <v>0</v>
      </c>
      <c r="E100" s="49">
        <v>361.6</v>
      </c>
      <c r="F100" s="49" t="e">
        <f t="shared" si="6"/>
        <v>#DIV/0!</v>
      </c>
      <c r="G100" s="52">
        <f t="shared" si="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2007</v>
      </c>
      <c r="B101" s="50">
        <v>12</v>
      </c>
      <c r="C101" s="51">
        <f t="shared" si="4"/>
        <v>0</v>
      </c>
      <c r="D101" s="51">
        <f t="shared" si="5"/>
        <v>0</v>
      </c>
      <c r="E101" s="49">
        <v>361.6</v>
      </c>
      <c r="F101" s="49" t="e">
        <f t="shared" si="6"/>
        <v>#DIV/0!</v>
      </c>
      <c r="G101" s="52">
        <f t="shared" si="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2008</v>
      </c>
      <c r="B102" s="50">
        <v>12</v>
      </c>
      <c r="C102" s="51">
        <f t="shared" si="4"/>
        <v>0</v>
      </c>
      <c r="D102" s="51">
        <f t="shared" si="5"/>
        <v>0</v>
      </c>
      <c r="E102" s="49">
        <v>361.6</v>
      </c>
      <c r="F102" s="49" t="e">
        <f t="shared" si="6"/>
        <v>#DIV/0!</v>
      </c>
      <c r="G102" s="52">
        <f t="shared" si="7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2009</v>
      </c>
      <c r="B103" s="50">
        <v>12</v>
      </c>
      <c r="C103" s="51">
        <f t="shared" si="4"/>
        <v>0</v>
      </c>
      <c r="D103" s="51">
        <f t="shared" si="5"/>
        <v>0</v>
      </c>
      <c r="E103" s="49">
        <v>361.6</v>
      </c>
      <c r="F103" s="49" t="e">
        <f t="shared" si="6"/>
        <v>#DIV/0!</v>
      </c>
      <c r="G103" s="52">
        <f t="shared" si="7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2010</v>
      </c>
      <c r="B104" s="50">
        <v>12</v>
      </c>
      <c r="C104" s="51">
        <f t="shared" si="4"/>
        <v>0</v>
      </c>
      <c r="D104" s="51">
        <f t="shared" si="5"/>
        <v>0</v>
      </c>
      <c r="E104" s="49">
        <v>361.6</v>
      </c>
      <c r="F104" s="49" t="e">
        <f t="shared" si="6"/>
        <v>#DIV/0!</v>
      </c>
      <c r="G104" s="52">
        <f t="shared" si="7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2011</v>
      </c>
      <c r="B105" s="50">
        <v>12</v>
      </c>
      <c r="C105" s="51">
        <f t="shared" ref="C105:C114" si="8">D105/B105</f>
        <v>0</v>
      </c>
      <c r="D105" s="51">
        <f t="shared" ref="D105:D114" si="9">SUM(I105:T105)</f>
        <v>0</v>
      </c>
      <c r="E105" s="49">
        <v>361.6</v>
      </c>
      <c r="F105" s="49" t="e">
        <f t="shared" ref="F105:F114" si="10">E105/C105</f>
        <v>#DIV/0!</v>
      </c>
      <c r="G105" s="52">
        <f t="shared" ref="G105:G114" si="11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2012</v>
      </c>
      <c r="B106" s="50">
        <v>12</v>
      </c>
      <c r="C106" s="51">
        <f t="shared" si="8"/>
        <v>0</v>
      </c>
      <c r="D106" s="51">
        <f t="shared" si="9"/>
        <v>0</v>
      </c>
      <c r="E106" s="49">
        <v>361.6</v>
      </c>
      <c r="F106" s="49" t="e">
        <f t="shared" si="10"/>
        <v>#DIV/0!</v>
      </c>
      <c r="G106" s="52">
        <f t="shared" si="11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2013</v>
      </c>
      <c r="B107" s="50">
        <v>12</v>
      </c>
      <c r="C107" s="51">
        <f t="shared" si="8"/>
        <v>0</v>
      </c>
      <c r="D107" s="51">
        <f t="shared" si="9"/>
        <v>0</v>
      </c>
      <c r="E107" s="49">
        <v>361.6</v>
      </c>
      <c r="F107" s="49" t="e">
        <f t="shared" si="10"/>
        <v>#DIV/0!</v>
      </c>
      <c r="G107" s="52">
        <f t="shared" si="11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s="53" customFormat="1" ht="15.75" customHeight="1" x14ac:dyDescent="0.25">
      <c r="A108" s="50">
        <v>2014</v>
      </c>
      <c r="B108" s="50">
        <v>12</v>
      </c>
      <c r="C108" s="51">
        <f t="shared" si="8"/>
        <v>0</v>
      </c>
      <c r="D108" s="51">
        <f t="shared" si="9"/>
        <v>0</v>
      </c>
      <c r="E108" s="49">
        <v>361.6</v>
      </c>
      <c r="F108" s="49" t="e">
        <f t="shared" si="10"/>
        <v>#DIV/0!</v>
      </c>
      <c r="G108" s="52">
        <f t="shared" si="11"/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s="53" customFormat="1" ht="15.75" customHeight="1" x14ac:dyDescent="0.25">
      <c r="A109" s="50">
        <v>2015</v>
      </c>
      <c r="B109" s="50">
        <v>12</v>
      </c>
      <c r="C109" s="51">
        <f t="shared" si="8"/>
        <v>0</v>
      </c>
      <c r="D109" s="51">
        <f t="shared" si="9"/>
        <v>0</v>
      </c>
      <c r="E109" s="49">
        <v>361.6</v>
      </c>
      <c r="F109" s="49" t="e">
        <f t="shared" si="10"/>
        <v>#DIV/0!</v>
      </c>
      <c r="G109" s="52">
        <f t="shared" si="11"/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s="53" customFormat="1" ht="15.75" customHeight="1" x14ac:dyDescent="0.25">
      <c r="A110" s="50">
        <v>2016</v>
      </c>
      <c r="B110" s="50">
        <v>12</v>
      </c>
      <c r="C110" s="51">
        <f t="shared" si="8"/>
        <v>0</v>
      </c>
      <c r="D110" s="51">
        <f t="shared" si="9"/>
        <v>0</v>
      </c>
      <c r="E110" s="49">
        <v>361.6</v>
      </c>
      <c r="F110" s="49" t="e">
        <f t="shared" si="10"/>
        <v>#DIV/0!</v>
      </c>
      <c r="G110" s="52">
        <f t="shared" si="11"/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s="53" customFormat="1" ht="15.75" customHeight="1" x14ac:dyDescent="0.25">
      <c r="A111" s="50">
        <v>2017</v>
      </c>
      <c r="B111" s="50">
        <v>12</v>
      </c>
      <c r="C111" s="51">
        <f t="shared" si="8"/>
        <v>0</v>
      </c>
      <c r="D111" s="51">
        <f t="shared" si="9"/>
        <v>0</v>
      </c>
      <c r="E111" s="49">
        <v>361.6</v>
      </c>
      <c r="F111" s="49" t="e">
        <f t="shared" si="10"/>
        <v>#DIV/0!</v>
      </c>
      <c r="G111" s="52">
        <f t="shared" si="11"/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  <row r="112" spans="1:20" s="53" customFormat="1" ht="15.75" customHeight="1" x14ac:dyDescent="0.25">
      <c r="A112" s="50">
        <v>2018</v>
      </c>
      <c r="B112" s="50">
        <v>12</v>
      </c>
      <c r="C112" s="51">
        <f t="shared" si="8"/>
        <v>0</v>
      </c>
      <c r="D112" s="51">
        <f t="shared" si="9"/>
        <v>0</v>
      </c>
      <c r="E112" s="49">
        <v>361.6</v>
      </c>
      <c r="F112" s="49" t="e">
        <f t="shared" si="10"/>
        <v>#DIV/0!</v>
      </c>
      <c r="G112" s="52">
        <f t="shared" si="11"/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  <row r="113" spans="1:20" s="53" customFormat="1" ht="15.75" customHeight="1" x14ac:dyDescent="0.25">
      <c r="A113" s="50">
        <v>2019</v>
      </c>
      <c r="B113" s="50">
        <v>12</v>
      </c>
      <c r="C113" s="51">
        <f t="shared" si="8"/>
        <v>0</v>
      </c>
      <c r="D113" s="51">
        <f t="shared" si="9"/>
        <v>0</v>
      </c>
      <c r="E113" s="49">
        <v>361.6</v>
      </c>
      <c r="F113" s="49" t="e">
        <f t="shared" si="10"/>
        <v>#DIV/0!</v>
      </c>
      <c r="G113" s="52">
        <f t="shared" si="11"/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</row>
    <row r="114" spans="1:20" s="53" customFormat="1" ht="15.75" customHeight="1" x14ac:dyDescent="0.25">
      <c r="A114" s="50">
        <v>2020</v>
      </c>
      <c r="B114" s="50">
        <v>12</v>
      </c>
      <c r="C114" s="51">
        <f t="shared" si="8"/>
        <v>0</v>
      </c>
      <c r="D114" s="51">
        <f t="shared" si="9"/>
        <v>0</v>
      </c>
      <c r="E114" s="49">
        <v>361.6</v>
      </c>
      <c r="F114" s="49" t="e">
        <f t="shared" si="10"/>
        <v>#DIV/0!</v>
      </c>
      <c r="G114" s="52">
        <f t="shared" si="11"/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</row>
    <row r="115" spans="1:20" ht="15.75" customHeight="1" x14ac:dyDescent="0.25">
      <c r="A115" s="50">
        <v>2021</v>
      </c>
      <c r="B115" s="50">
        <v>12</v>
      </c>
      <c r="C115" s="51">
        <f t="shared" ref="C115" si="12">D115/B115</f>
        <v>0</v>
      </c>
      <c r="D115" s="51">
        <f t="shared" ref="D115" si="13">SUM(I115:T115)</f>
        <v>0</v>
      </c>
      <c r="E115" s="49">
        <v>361.6</v>
      </c>
      <c r="F115" s="49" t="e">
        <f t="shared" ref="F115" si="14">E115/C115</f>
        <v>#DIV/0!</v>
      </c>
      <c r="G115" s="52">
        <f t="shared" ref="G115" si="15">C115/E115</f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9">
        <v>0</v>
      </c>
      <c r="T115" s="49">
        <v>0</v>
      </c>
    </row>
    <row r="116" spans="1:20" ht="15.75" customHeight="1" x14ac:dyDescent="0.25">
      <c r="A116" s="50">
        <v>2022</v>
      </c>
      <c r="B116" s="50">
        <v>12</v>
      </c>
      <c r="C116" s="51">
        <f t="shared" ref="C116" si="16">D116/B116</f>
        <v>0</v>
      </c>
      <c r="D116" s="51">
        <f t="shared" ref="D116" si="17">SUM(I116:T116)</f>
        <v>0</v>
      </c>
      <c r="E116" s="49">
        <v>361.6</v>
      </c>
      <c r="F116" s="49" t="e">
        <f t="shared" ref="F116" si="18">E116/C116</f>
        <v>#DIV/0!</v>
      </c>
      <c r="G116" s="52">
        <f t="shared" ref="G116" si="19">C116/E116</f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0</v>
      </c>
      <c r="S116" s="49">
        <v>0</v>
      </c>
      <c r="T116" s="49">
        <v>0</v>
      </c>
    </row>
    <row r="117" spans="1:20" ht="15.75" customHeight="1" x14ac:dyDescent="0.25">
      <c r="A117" s="50">
        <v>2023</v>
      </c>
      <c r="B117" s="50">
        <v>12</v>
      </c>
      <c r="C117" s="51">
        <f t="shared" ref="C117" si="20">D117/B117</f>
        <v>0</v>
      </c>
      <c r="D117" s="51">
        <f t="shared" ref="D117" si="21">SUM(I117:T117)</f>
        <v>0</v>
      </c>
      <c r="E117" s="49">
        <v>361.6</v>
      </c>
      <c r="F117" s="49" t="e">
        <f t="shared" ref="F117" si="22">E117/C117</f>
        <v>#DIV/0!</v>
      </c>
      <c r="G117" s="52">
        <f t="shared" ref="G117" si="23">C117/E117</f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9">
        <v>0</v>
      </c>
      <c r="T117" s="49">
        <v>0</v>
      </c>
    </row>
    <row r="118" spans="1:20" ht="15.75" customHeight="1" x14ac:dyDescent="0.25">
      <c r="A118" s="50">
        <v>2024</v>
      </c>
      <c r="B118" s="50">
        <v>12</v>
      </c>
      <c r="C118" s="51">
        <f t="shared" ref="C118" si="24">D118/B118</f>
        <v>0</v>
      </c>
      <c r="D118" s="51">
        <f t="shared" ref="D118" si="25">SUM(I118:T118)</f>
        <v>0</v>
      </c>
      <c r="E118" s="49">
        <v>361.6</v>
      </c>
      <c r="F118" s="49" t="e">
        <f t="shared" ref="F118" si="26">E118/C118</f>
        <v>#DIV/0!</v>
      </c>
      <c r="G118" s="52">
        <f t="shared" ref="G118" si="27">C118/E118</f>
        <v>0</v>
      </c>
      <c r="I118" s="49">
        <v>0</v>
      </c>
      <c r="J118" s="49">
        <v>0</v>
      </c>
      <c r="K118" s="49">
        <v>0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0</v>
      </c>
      <c r="S118" s="49">
        <v>0</v>
      </c>
      <c r="T118" s="49">
        <v>0</v>
      </c>
    </row>
    <row r="119" spans="1:20" ht="15.75" customHeight="1" x14ac:dyDescent="0.25">
      <c r="A119" s="16">
        <v>2025</v>
      </c>
      <c r="B119" s="9">
        <v>12</v>
      </c>
      <c r="C119" s="51">
        <f t="shared" ref="C119" si="28">D119/B119</f>
        <v>0</v>
      </c>
      <c r="D119" s="51">
        <f t="shared" ref="D119" si="29">SUM(I119:T119)</f>
        <v>0</v>
      </c>
      <c r="E119" s="49">
        <v>361.6</v>
      </c>
      <c r="F119" s="49" t="e">
        <f t="shared" ref="F119" si="30">E119/C119</f>
        <v>#DIV/0!</v>
      </c>
      <c r="G119" s="52">
        <f t="shared" ref="G119" si="31">C119/E119</f>
        <v>0</v>
      </c>
      <c r="I119" s="49">
        <v>0</v>
      </c>
      <c r="J119" s="49">
        <v>0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0</v>
      </c>
      <c r="Q119" s="49">
        <v>0</v>
      </c>
      <c r="R119" s="49">
        <v>0</v>
      </c>
      <c r="S119" s="49">
        <v>0</v>
      </c>
      <c r="T119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119"/>
  <sheetViews>
    <sheetView zoomScale="80" zoomScaleNormal="80" workbookViewId="0">
      <pane ySplit="1440" topLeftCell="A83" activePane="bottomLeft"/>
      <selection sqref="A1:XFD1048576"/>
      <selection pane="bottomLeft" activeCell="A119" sqref="A119:XFD119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5546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1.33203125" style="56" customWidth="1"/>
    <col min="11" max="16" width="9.109375" style="56"/>
    <col min="17" max="17" width="12.6640625" style="56" customWidth="1"/>
    <col min="18" max="18" width="9.6640625" style="56" customWidth="1"/>
    <col min="19" max="19" width="12.109375" style="56" customWidth="1"/>
    <col min="20" max="20" width="11.88671875" style="56" customWidth="1"/>
    <col min="21" max="16384" width="9.109375" style="40"/>
  </cols>
  <sheetData>
    <row r="1" spans="1:20" ht="15" x14ac:dyDescent="0.25">
      <c r="A1" s="120" t="s">
        <v>72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1909</v>
      </c>
      <c r="B3" s="50">
        <v>12</v>
      </c>
      <c r="C3" s="51">
        <f>D3/B3</f>
        <v>7.3083333333333336</v>
      </c>
      <c r="D3" s="51">
        <f>SUM(I3:T3)</f>
        <v>87.7</v>
      </c>
      <c r="E3" s="49">
        <v>240.42</v>
      </c>
      <c r="F3" s="49">
        <f>E3/C3</f>
        <v>32.896693272519954</v>
      </c>
      <c r="G3" s="52">
        <f>C3/E3</f>
        <v>3.0398192052796497E-2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43</v>
      </c>
      <c r="T3" s="49">
        <v>44.7</v>
      </c>
    </row>
    <row r="4" spans="1:20" s="53" customFormat="1" ht="15.75" customHeight="1" x14ac:dyDescent="0.25">
      <c r="A4" s="50">
        <v>1910</v>
      </c>
      <c r="B4" s="50">
        <v>12</v>
      </c>
      <c r="C4" s="51">
        <f t="shared" ref="C4:C67" si="0">D4/B4</f>
        <v>38.516666666666666</v>
      </c>
      <c r="D4" s="51">
        <f t="shared" ref="D4:D67" si="1">SUM(I4:T4)</f>
        <v>462.2</v>
      </c>
      <c r="E4" s="49">
        <v>240.42</v>
      </c>
      <c r="F4" s="49">
        <f t="shared" ref="F4:F67" si="2">E4/C4</f>
        <v>6.2419731717871052</v>
      </c>
      <c r="G4" s="52">
        <f t="shared" ref="G4:G67" si="3">C4/E4</f>
        <v>0.16020575104677925</v>
      </c>
      <c r="I4" s="49">
        <v>29.9</v>
      </c>
      <c r="J4" s="49">
        <v>24.6</v>
      </c>
      <c r="K4" s="49">
        <v>49.3</v>
      </c>
      <c r="L4" s="49">
        <v>37.1</v>
      </c>
      <c r="M4" s="49">
        <v>42.1</v>
      </c>
      <c r="N4" s="49">
        <v>63.2</v>
      </c>
      <c r="O4" s="49">
        <v>74.8</v>
      </c>
      <c r="P4" s="49">
        <v>27.1</v>
      </c>
      <c r="Q4" s="49">
        <v>23.6</v>
      </c>
      <c r="R4" s="49">
        <v>29.7</v>
      </c>
      <c r="S4" s="49">
        <v>34.4</v>
      </c>
      <c r="T4" s="49">
        <v>26.4</v>
      </c>
    </row>
    <row r="5" spans="1:20" s="53" customFormat="1" ht="15.75" customHeight="1" x14ac:dyDescent="0.25">
      <c r="A5" s="50">
        <v>1911</v>
      </c>
      <c r="B5" s="50">
        <v>12</v>
      </c>
      <c r="C5" s="51">
        <f t="shared" si="0"/>
        <v>25.966666666666669</v>
      </c>
      <c r="D5" s="51">
        <f t="shared" si="1"/>
        <v>311.60000000000002</v>
      </c>
      <c r="E5" s="49">
        <v>240.42</v>
      </c>
      <c r="F5" s="49">
        <f t="shared" si="2"/>
        <v>9.2587933247753522</v>
      </c>
      <c r="G5" s="52">
        <f t="shared" si="3"/>
        <v>0.10800543493331116</v>
      </c>
      <c r="I5" s="49">
        <v>23</v>
      </c>
      <c r="J5" s="49">
        <v>25</v>
      </c>
      <c r="K5" s="49">
        <v>21</v>
      </c>
      <c r="L5" s="49">
        <v>32.200000000000003</v>
      </c>
      <c r="M5" s="49">
        <v>47.3</v>
      </c>
      <c r="N5" s="49">
        <v>38</v>
      </c>
      <c r="O5" s="49">
        <v>30.4</v>
      </c>
      <c r="P5" s="49">
        <v>12</v>
      </c>
      <c r="Q5" s="49">
        <v>12</v>
      </c>
      <c r="R5" s="49">
        <v>18.7</v>
      </c>
      <c r="S5" s="49">
        <v>26</v>
      </c>
      <c r="T5" s="49">
        <v>26</v>
      </c>
    </row>
    <row r="6" spans="1:20" s="53" customFormat="1" ht="15.75" customHeight="1" x14ac:dyDescent="0.25">
      <c r="A6" s="50">
        <v>1912</v>
      </c>
      <c r="B6" s="50">
        <v>12</v>
      </c>
      <c r="C6" s="51">
        <f t="shared" si="0"/>
        <v>45.525000000000006</v>
      </c>
      <c r="D6" s="51">
        <f t="shared" si="1"/>
        <v>546.30000000000007</v>
      </c>
      <c r="E6" s="49">
        <v>240.42</v>
      </c>
      <c r="F6" s="49">
        <f t="shared" si="2"/>
        <v>5.2810543657331124</v>
      </c>
      <c r="G6" s="52">
        <f t="shared" si="3"/>
        <v>0.18935612677813829</v>
      </c>
      <c r="I6" s="49">
        <v>26</v>
      </c>
      <c r="J6" s="49">
        <v>26</v>
      </c>
      <c r="K6" s="49">
        <v>26</v>
      </c>
      <c r="L6" s="49">
        <v>33.6</v>
      </c>
      <c r="M6" s="49">
        <v>36</v>
      </c>
      <c r="N6" s="49">
        <v>53</v>
      </c>
      <c r="O6" s="49">
        <v>62.7</v>
      </c>
      <c r="P6" s="49">
        <v>57.1</v>
      </c>
      <c r="Q6" s="49">
        <v>45</v>
      </c>
      <c r="R6" s="49">
        <v>55.6</v>
      </c>
      <c r="S6" s="49">
        <v>67.3</v>
      </c>
      <c r="T6" s="49">
        <v>58</v>
      </c>
    </row>
    <row r="7" spans="1:20" s="53" customFormat="1" ht="15.75" customHeight="1" x14ac:dyDescent="0.25">
      <c r="A7" s="50">
        <v>1913</v>
      </c>
      <c r="B7" s="50">
        <v>12</v>
      </c>
      <c r="C7" s="51">
        <f t="shared" si="0"/>
        <v>67.458333333333329</v>
      </c>
      <c r="D7" s="51">
        <f t="shared" si="1"/>
        <v>809.49999999999989</v>
      </c>
      <c r="E7" s="49">
        <v>240.42</v>
      </c>
      <c r="F7" s="49">
        <f t="shared" si="2"/>
        <v>3.5639777640518839</v>
      </c>
      <c r="G7" s="52">
        <f t="shared" si="3"/>
        <v>0.28058536450101212</v>
      </c>
      <c r="I7" s="49">
        <v>55.6</v>
      </c>
      <c r="J7" s="49">
        <v>55</v>
      </c>
      <c r="K7" s="49">
        <v>63.8</v>
      </c>
      <c r="L7" s="49">
        <v>76</v>
      </c>
      <c r="M7" s="49">
        <v>91</v>
      </c>
      <c r="N7" s="49">
        <v>123.9</v>
      </c>
      <c r="O7" s="49">
        <v>119.4</v>
      </c>
      <c r="P7" s="49">
        <v>44</v>
      </c>
      <c r="Q7" s="49">
        <v>44</v>
      </c>
      <c r="R7" s="49">
        <v>44</v>
      </c>
      <c r="S7" s="49">
        <v>43</v>
      </c>
      <c r="T7" s="49">
        <v>49.8</v>
      </c>
    </row>
    <row r="8" spans="1:20" s="53" customFormat="1" ht="15.75" customHeight="1" x14ac:dyDescent="0.25">
      <c r="A8" s="50">
        <v>1914</v>
      </c>
      <c r="B8" s="50">
        <v>12</v>
      </c>
      <c r="C8" s="51">
        <f t="shared" si="0"/>
        <v>58.866666666666667</v>
      </c>
      <c r="D8" s="51">
        <f t="shared" si="1"/>
        <v>706.4</v>
      </c>
      <c r="E8" s="49">
        <v>240.42</v>
      </c>
      <c r="F8" s="49">
        <f t="shared" si="2"/>
        <v>4.0841449603624005</v>
      </c>
      <c r="G8" s="52">
        <f t="shared" si="3"/>
        <v>0.24484929151762194</v>
      </c>
      <c r="I8" s="49">
        <v>53</v>
      </c>
      <c r="J8" s="49">
        <v>53</v>
      </c>
      <c r="K8" s="49">
        <v>57.2</v>
      </c>
      <c r="L8" s="49">
        <v>60</v>
      </c>
      <c r="M8" s="49">
        <v>63.2</v>
      </c>
      <c r="N8" s="49">
        <v>60</v>
      </c>
      <c r="O8" s="49">
        <v>60</v>
      </c>
      <c r="P8" s="49">
        <v>60</v>
      </c>
      <c r="Q8" s="49">
        <v>60</v>
      </c>
      <c r="R8" s="49">
        <v>60</v>
      </c>
      <c r="S8" s="49">
        <v>60</v>
      </c>
      <c r="T8" s="49">
        <v>60</v>
      </c>
    </row>
    <row r="9" spans="1:20" s="53" customFormat="1" ht="15.75" customHeight="1" x14ac:dyDescent="0.25">
      <c r="A9" s="50">
        <v>1915</v>
      </c>
      <c r="B9" s="50">
        <v>12</v>
      </c>
      <c r="C9" s="51">
        <f t="shared" si="0"/>
        <v>43.241666666666667</v>
      </c>
      <c r="D9" s="51">
        <f t="shared" si="1"/>
        <v>518.9</v>
      </c>
      <c r="E9" s="49">
        <v>240.42</v>
      </c>
      <c r="F9" s="49">
        <f t="shared" si="2"/>
        <v>5.5599152052418574</v>
      </c>
      <c r="G9" s="52">
        <f t="shared" si="3"/>
        <v>0.17985885810941965</v>
      </c>
      <c r="I9" s="49">
        <v>61.9</v>
      </c>
      <c r="J9" s="49">
        <v>55</v>
      </c>
      <c r="K9" s="49">
        <v>55</v>
      </c>
      <c r="L9" s="49">
        <v>55</v>
      </c>
      <c r="M9" s="49">
        <v>55</v>
      </c>
      <c r="N9" s="49">
        <v>55</v>
      </c>
      <c r="O9" s="49">
        <v>55</v>
      </c>
      <c r="P9" s="49">
        <v>47</v>
      </c>
      <c r="Q9" s="49">
        <v>20</v>
      </c>
      <c r="R9" s="49">
        <v>20</v>
      </c>
      <c r="S9" s="49">
        <v>20</v>
      </c>
      <c r="T9" s="49">
        <v>20</v>
      </c>
    </row>
    <row r="10" spans="1:20" s="53" customFormat="1" ht="15.75" customHeight="1" x14ac:dyDescent="0.25">
      <c r="A10" s="50">
        <v>1916</v>
      </c>
      <c r="B10" s="50">
        <v>12</v>
      </c>
      <c r="C10" s="51">
        <f t="shared" si="0"/>
        <v>33.491666666666667</v>
      </c>
      <c r="D10" s="51">
        <f t="shared" si="1"/>
        <v>401.90000000000003</v>
      </c>
      <c r="E10" s="49">
        <v>240.42</v>
      </c>
      <c r="F10" s="49">
        <f t="shared" si="2"/>
        <v>7.1785021149539681</v>
      </c>
      <c r="G10" s="52">
        <f t="shared" si="3"/>
        <v>0.13930482766270139</v>
      </c>
      <c r="I10" s="49">
        <v>20</v>
      </c>
      <c r="J10" s="49">
        <v>32.4</v>
      </c>
      <c r="K10" s="49">
        <v>35</v>
      </c>
      <c r="L10" s="49">
        <v>45.7</v>
      </c>
      <c r="M10" s="49">
        <v>38.5</v>
      </c>
      <c r="N10" s="49">
        <v>41</v>
      </c>
      <c r="O10" s="49">
        <v>41</v>
      </c>
      <c r="P10" s="49">
        <v>27.4</v>
      </c>
      <c r="Q10" s="49">
        <v>26</v>
      </c>
      <c r="R10" s="49">
        <v>28.6</v>
      </c>
      <c r="S10" s="49">
        <v>32.299999999999997</v>
      </c>
      <c r="T10" s="49">
        <v>34</v>
      </c>
    </row>
    <row r="11" spans="1:20" s="53" customFormat="1" ht="15.75" customHeight="1" x14ac:dyDescent="0.25">
      <c r="A11" s="50">
        <v>1917</v>
      </c>
      <c r="B11" s="50">
        <v>12</v>
      </c>
      <c r="C11" s="51">
        <f t="shared" si="0"/>
        <v>21.441666666666666</v>
      </c>
      <c r="D11" s="51">
        <f t="shared" si="1"/>
        <v>257.3</v>
      </c>
      <c r="E11" s="49">
        <v>240.42</v>
      </c>
      <c r="F11" s="49">
        <f t="shared" si="2"/>
        <v>11.212747765254566</v>
      </c>
      <c r="G11" s="52">
        <f t="shared" si="3"/>
        <v>8.9184205418295762E-2</v>
      </c>
      <c r="I11" s="49">
        <v>34</v>
      </c>
      <c r="J11" s="49">
        <v>34</v>
      </c>
      <c r="K11" s="49">
        <v>37</v>
      </c>
      <c r="L11" s="49">
        <v>40</v>
      </c>
      <c r="M11" s="49">
        <v>40</v>
      </c>
      <c r="N11" s="49">
        <v>18.399999999999999</v>
      </c>
      <c r="O11" s="49">
        <v>14.9</v>
      </c>
      <c r="P11" s="49">
        <v>0</v>
      </c>
      <c r="Q11" s="49">
        <v>0</v>
      </c>
      <c r="R11" s="49">
        <v>5.8</v>
      </c>
      <c r="S11" s="49">
        <v>16.100000000000001</v>
      </c>
      <c r="T11" s="49">
        <v>17.100000000000001</v>
      </c>
    </row>
    <row r="12" spans="1:20" s="53" customFormat="1" ht="15.75" customHeight="1" x14ac:dyDescent="0.25">
      <c r="A12" s="50">
        <v>1918</v>
      </c>
      <c r="B12" s="50">
        <v>12</v>
      </c>
      <c r="C12" s="51">
        <f t="shared" si="0"/>
        <v>36.299999999999997</v>
      </c>
      <c r="D12" s="51">
        <f t="shared" si="1"/>
        <v>435.59999999999997</v>
      </c>
      <c r="E12" s="49">
        <v>240.42</v>
      </c>
      <c r="F12" s="49">
        <f t="shared" si="2"/>
        <v>6.6231404958677684</v>
      </c>
      <c r="G12" s="52">
        <f t="shared" si="3"/>
        <v>0.15098577489393561</v>
      </c>
      <c r="I12" s="49">
        <v>18.2</v>
      </c>
      <c r="J12" s="49">
        <v>19</v>
      </c>
      <c r="K12" s="49">
        <v>19</v>
      </c>
      <c r="L12" s="49">
        <v>34.6</v>
      </c>
      <c r="M12" s="49">
        <v>80</v>
      </c>
      <c r="N12" s="49">
        <v>77</v>
      </c>
      <c r="O12" s="49">
        <v>51.9</v>
      </c>
      <c r="P12" s="49">
        <v>4</v>
      </c>
      <c r="Q12" s="49">
        <v>4</v>
      </c>
      <c r="R12" s="49">
        <v>26</v>
      </c>
      <c r="S12" s="49">
        <v>51.9</v>
      </c>
      <c r="T12" s="49">
        <v>50</v>
      </c>
    </row>
    <row r="13" spans="1:20" s="53" customFormat="1" ht="15.75" customHeight="1" x14ac:dyDescent="0.25">
      <c r="A13" s="50">
        <v>1919</v>
      </c>
      <c r="B13" s="50">
        <v>12</v>
      </c>
      <c r="C13" s="51">
        <f t="shared" si="0"/>
        <v>46.75</v>
      </c>
      <c r="D13" s="51">
        <f t="shared" si="1"/>
        <v>561</v>
      </c>
      <c r="E13" s="49">
        <v>240.42</v>
      </c>
      <c r="F13" s="49">
        <f t="shared" si="2"/>
        <v>5.1426737967914438</v>
      </c>
      <c r="G13" s="52">
        <f t="shared" si="3"/>
        <v>0.19445137675734134</v>
      </c>
      <c r="I13" s="49">
        <v>31.5</v>
      </c>
      <c r="J13" s="49">
        <v>31</v>
      </c>
      <c r="K13" s="49">
        <v>61.9</v>
      </c>
      <c r="L13" s="49">
        <v>63</v>
      </c>
      <c r="M13" s="49">
        <v>61.7</v>
      </c>
      <c r="N13" s="49">
        <v>60</v>
      </c>
      <c r="O13" s="49">
        <v>42.4</v>
      </c>
      <c r="P13" s="49">
        <v>36.9</v>
      </c>
      <c r="Q13" s="49">
        <v>40</v>
      </c>
      <c r="R13" s="49">
        <v>42</v>
      </c>
      <c r="S13" s="49">
        <v>43</v>
      </c>
      <c r="T13" s="49">
        <v>47.6</v>
      </c>
    </row>
    <row r="14" spans="1:20" s="53" customFormat="1" ht="15.75" customHeight="1" x14ac:dyDescent="0.25">
      <c r="A14" s="50">
        <v>1920</v>
      </c>
      <c r="B14" s="50">
        <v>12</v>
      </c>
      <c r="C14" s="51">
        <f t="shared" si="0"/>
        <v>52.708333333333336</v>
      </c>
      <c r="D14" s="51">
        <f t="shared" si="1"/>
        <v>632.5</v>
      </c>
      <c r="E14" s="49">
        <v>240.42</v>
      </c>
      <c r="F14" s="49">
        <f t="shared" si="2"/>
        <v>4.5613280632411062</v>
      </c>
      <c r="G14" s="52">
        <f t="shared" si="3"/>
        <v>0.21923439536366915</v>
      </c>
      <c r="I14" s="49">
        <v>49</v>
      </c>
      <c r="J14" s="49">
        <v>49</v>
      </c>
      <c r="K14" s="49">
        <v>51</v>
      </c>
      <c r="L14" s="49">
        <v>44.3</v>
      </c>
      <c r="M14" s="49">
        <v>48.4</v>
      </c>
      <c r="N14" s="49">
        <v>41</v>
      </c>
      <c r="O14" s="49">
        <v>78.8</v>
      </c>
      <c r="P14" s="49">
        <v>77</v>
      </c>
      <c r="Q14" s="49">
        <v>77</v>
      </c>
      <c r="R14" s="49">
        <v>39</v>
      </c>
      <c r="S14" s="49">
        <v>39</v>
      </c>
      <c r="T14" s="49">
        <v>39</v>
      </c>
    </row>
    <row r="15" spans="1:20" s="53" customFormat="1" ht="15.75" customHeight="1" x14ac:dyDescent="0.25">
      <c r="A15" s="50">
        <v>1921</v>
      </c>
      <c r="B15" s="50">
        <v>12</v>
      </c>
      <c r="C15" s="51">
        <f t="shared" si="0"/>
        <v>43.675000000000004</v>
      </c>
      <c r="D15" s="51">
        <f t="shared" si="1"/>
        <v>524.1</v>
      </c>
      <c r="E15" s="49">
        <v>240.42</v>
      </c>
      <c r="F15" s="49">
        <f t="shared" si="2"/>
        <v>5.5047510017172288</v>
      </c>
      <c r="G15" s="52">
        <f t="shared" si="3"/>
        <v>0.18166125946260714</v>
      </c>
      <c r="I15" s="49">
        <v>43.3</v>
      </c>
      <c r="J15" s="49">
        <v>44</v>
      </c>
      <c r="K15" s="49">
        <v>43.1</v>
      </c>
      <c r="L15" s="49">
        <v>40.200000000000003</v>
      </c>
      <c r="M15" s="49">
        <v>42.5</v>
      </c>
      <c r="N15" s="49">
        <v>44</v>
      </c>
      <c r="O15" s="49">
        <v>44</v>
      </c>
      <c r="P15" s="49">
        <v>51.5</v>
      </c>
      <c r="Q15" s="49">
        <v>42.6</v>
      </c>
      <c r="R15" s="49">
        <v>43</v>
      </c>
      <c r="S15" s="49">
        <v>43</v>
      </c>
      <c r="T15" s="49">
        <v>42.9</v>
      </c>
    </row>
    <row r="16" spans="1:20" s="53" customFormat="1" ht="15.75" customHeight="1" x14ac:dyDescent="0.25">
      <c r="A16" s="50">
        <v>1922</v>
      </c>
      <c r="B16" s="50">
        <v>12</v>
      </c>
      <c r="C16" s="51">
        <f t="shared" si="0"/>
        <v>41</v>
      </c>
      <c r="D16" s="51">
        <f t="shared" si="1"/>
        <v>492</v>
      </c>
      <c r="E16" s="49">
        <v>240.42</v>
      </c>
      <c r="F16" s="49">
        <f t="shared" si="2"/>
        <v>5.8639024390243897</v>
      </c>
      <c r="G16" s="52">
        <f t="shared" si="3"/>
        <v>0.17053489726312288</v>
      </c>
      <c r="I16" s="49">
        <v>40</v>
      </c>
      <c r="J16" s="49">
        <v>40</v>
      </c>
      <c r="K16" s="49">
        <v>40</v>
      </c>
      <c r="L16" s="49">
        <v>40</v>
      </c>
      <c r="M16" s="49">
        <v>40</v>
      </c>
      <c r="N16" s="49">
        <v>40</v>
      </c>
      <c r="O16" s="49">
        <v>42</v>
      </c>
      <c r="P16" s="49">
        <v>42</v>
      </c>
      <c r="Q16" s="49">
        <v>42</v>
      </c>
      <c r="R16" s="49">
        <v>42</v>
      </c>
      <c r="S16" s="49">
        <v>42</v>
      </c>
      <c r="T16" s="49">
        <v>42</v>
      </c>
    </row>
    <row r="17" spans="1:20" s="53" customFormat="1" ht="15.75" customHeight="1" x14ac:dyDescent="0.25">
      <c r="A17" s="50">
        <v>1923</v>
      </c>
      <c r="B17" s="50">
        <v>12</v>
      </c>
      <c r="C17" s="51">
        <f t="shared" si="0"/>
        <v>42.966666666666669</v>
      </c>
      <c r="D17" s="51">
        <f t="shared" si="1"/>
        <v>515.6</v>
      </c>
      <c r="E17" s="49">
        <v>240.42</v>
      </c>
      <c r="F17" s="49">
        <f t="shared" si="2"/>
        <v>5.5955003878975944</v>
      </c>
      <c r="G17" s="52">
        <f t="shared" si="3"/>
        <v>0.17871502648143528</v>
      </c>
      <c r="I17" s="49">
        <v>41.8</v>
      </c>
      <c r="J17" s="49">
        <v>42</v>
      </c>
      <c r="K17" s="49">
        <v>42</v>
      </c>
      <c r="L17" s="49">
        <v>42</v>
      </c>
      <c r="M17" s="49">
        <v>42</v>
      </c>
      <c r="N17" s="49">
        <v>42</v>
      </c>
      <c r="O17" s="49">
        <v>43.8</v>
      </c>
      <c r="P17" s="49">
        <v>44</v>
      </c>
      <c r="Q17" s="49">
        <v>44</v>
      </c>
      <c r="R17" s="49">
        <v>44</v>
      </c>
      <c r="S17" s="49">
        <v>44</v>
      </c>
      <c r="T17" s="49">
        <v>44</v>
      </c>
    </row>
    <row r="18" spans="1:20" s="53" customFormat="1" ht="15.75" customHeight="1" x14ac:dyDescent="0.25">
      <c r="A18" s="50">
        <v>1924</v>
      </c>
      <c r="B18" s="50">
        <v>12</v>
      </c>
      <c r="C18" s="51">
        <f t="shared" si="0"/>
        <v>21.866666666666664</v>
      </c>
      <c r="D18" s="51">
        <f t="shared" si="1"/>
        <v>262.39999999999998</v>
      </c>
      <c r="E18" s="49">
        <v>240.42</v>
      </c>
      <c r="F18" s="49">
        <f t="shared" si="2"/>
        <v>10.994817073170733</v>
      </c>
      <c r="G18" s="52">
        <f t="shared" si="3"/>
        <v>9.0951945206998855E-2</v>
      </c>
      <c r="I18" s="49">
        <v>42.4</v>
      </c>
      <c r="J18" s="49">
        <v>44</v>
      </c>
      <c r="K18" s="49">
        <v>44</v>
      </c>
      <c r="L18" s="49">
        <v>44</v>
      </c>
      <c r="M18" s="49">
        <v>44</v>
      </c>
      <c r="N18" s="49">
        <v>44</v>
      </c>
      <c r="O18" s="49"/>
      <c r="P18" s="49"/>
      <c r="Q18" s="49"/>
      <c r="R18" s="49"/>
      <c r="S18" s="49"/>
      <c r="T18" s="49"/>
    </row>
    <row r="19" spans="1:20" s="53" customFormat="1" ht="15.75" customHeight="1" x14ac:dyDescent="0.25">
      <c r="A19" s="50">
        <v>1925</v>
      </c>
      <c r="B19" s="50">
        <v>12</v>
      </c>
      <c r="C19" s="51">
        <f t="shared" si="0"/>
        <v>15.491666666666667</v>
      </c>
      <c r="D19" s="51">
        <f t="shared" si="1"/>
        <v>185.9</v>
      </c>
      <c r="E19" s="49">
        <v>240.42</v>
      </c>
      <c r="F19" s="49">
        <f t="shared" si="2"/>
        <v>15.519311457772995</v>
      </c>
      <c r="G19" s="52">
        <f t="shared" si="3"/>
        <v>6.4435848376452332E-2</v>
      </c>
      <c r="I19" s="49"/>
      <c r="J19" s="49"/>
      <c r="K19" s="49"/>
      <c r="L19" s="49"/>
      <c r="M19" s="49"/>
      <c r="N19" s="49"/>
      <c r="O19" s="49">
        <v>31</v>
      </c>
      <c r="P19" s="49">
        <v>31</v>
      </c>
      <c r="Q19" s="49">
        <v>31</v>
      </c>
      <c r="R19" s="49">
        <v>31</v>
      </c>
      <c r="S19" s="49">
        <v>31</v>
      </c>
      <c r="T19" s="49">
        <v>30.9</v>
      </c>
    </row>
    <row r="20" spans="1:20" s="53" customFormat="1" ht="15.75" customHeight="1" x14ac:dyDescent="0.25">
      <c r="A20" s="50">
        <v>1926</v>
      </c>
      <c r="B20" s="50">
        <v>12</v>
      </c>
      <c r="C20" s="51">
        <f t="shared" si="0"/>
        <v>40.016666666666666</v>
      </c>
      <c r="D20" s="51">
        <f t="shared" si="1"/>
        <v>480.2</v>
      </c>
      <c r="E20" s="49">
        <v>240.42</v>
      </c>
      <c r="F20" s="49">
        <f t="shared" si="2"/>
        <v>6.007996668054977</v>
      </c>
      <c r="G20" s="52">
        <f t="shared" si="3"/>
        <v>0.16644483265396667</v>
      </c>
      <c r="I20" s="49">
        <v>31</v>
      </c>
      <c r="J20" s="49">
        <v>31</v>
      </c>
      <c r="K20" s="49">
        <v>36.1</v>
      </c>
      <c r="L20" s="49">
        <v>40.6</v>
      </c>
      <c r="M20" s="49">
        <v>43.2</v>
      </c>
      <c r="N20" s="49">
        <v>44</v>
      </c>
      <c r="O20" s="49">
        <v>49</v>
      </c>
      <c r="P20" s="49">
        <v>49</v>
      </c>
      <c r="Q20" s="49">
        <v>48</v>
      </c>
      <c r="R20" s="49">
        <v>42.3</v>
      </c>
      <c r="S20" s="49">
        <v>33</v>
      </c>
      <c r="T20" s="49">
        <v>33</v>
      </c>
    </row>
    <row r="21" spans="1:20" s="53" customFormat="1" ht="15.75" customHeight="1" x14ac:dyDescent="0.25">
      <c r="A21" s="50">
        <v>1927</v>
      </c>
      <c r="B21" s="50">
        <v>12</v>
      </c>
      <c r="C21" s="51">
        <f t="shared" si="0"/>
        <v>36.758333333333333</v>
      </c>
      <c r="D21" s="51">
        <f t="shared" si="1"/>
        <v>441.09999999999997</v>
      </c>
      <c r="E21" s="49">
        <v>240.42</v>
      </c>
      <c r="F21" s="49">
        <f t="shared" si="2"/>
        <v>6.5405576966674221</v>
      </c>
      <c r="G21" s="52">
        <f t="shared" si="3"/>
        <v>0.15289216094057623</v>
      </c>
      <c r="I21" s="49">
        <v>33</v>
      </c>
      <c r="J21" s="49">
        <v>33</v>
      </c>
      <c r="K21" s="49">
        <v>32.700000000000003</v>
      </c>
      <c r="L21" s="49">
        <v>32</v>
      </c>
      <c r="M21" s="49">
        <v>32</v>
      </c>
      <c r="N21" s="49">
        <v>32</v>
      </c>
      <c r="O21" s="49">
        <v>32</v>
      </c>
      <c r="P21" s="49">
        <v>43.2</v>
      </c>
      <c r="Q21" s="49">
        <v>44</v>
      </c>
      <c r="R21" s="49">
        <v>43.2</v>
      </c>
      <c r="S21" s="49">
        <v>42</v>
      </c>
      <c r="T21" s="49">
        <v>42</v>
      </c>
    </row>
    <row r="22" spans="1:20" s="53" customFormat="1" ht="15.75" customHeight="1" x14ac:dyDescent="0.25">
      <c r="A22" s="50">
        <v>1928</v>
      </c>
      <c r="B22" s="50">
        <v>12</v>
      </c>
      <c r="C22" s="51">
        <f t="shared" si="0"/>
        <v>41.241666666666667</v>
      </c>
      <c r="D22" s="51">
        <f t="shared" si="1"/>
        <v>494.9</v>
      </c>
      <c r="E22" s="49">
        <v>240.42</v>
      </c>
      <c r="F22" s="49">
        <f t="shared" si="2"/>
        <v>5.8295413214790859</v>
      </c>
      <c r="G22" s="52">
        <f t="shared" si="3"/>
        <v>0.17154008263316975</v>
      </c>
      <c r="I22" s="49">
        <v>42</v>
      </c>
      <c r="J22" s="49">
        <v>42</v>
      </c>
      <c r="K22" s="49">
        <v>42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41</v>
      </c>
      <c r="R22" s="49">
        <v>41</v>
      </c>
      <c r="S22" s="49">
        <v>41</v>
      </c>
      <c r="T22" s="49">
        <v>36.9</v>
      </c>
    </row>
    <row r="23" spans="1:20" s="53" customFormat="1" ht="15.75" customHeight="1" x14ac:dyDescent="0.25">
      <c r="A23" s="50">
        <v>1929</v>
      </c>
      <c r="B23" s="50">
        <v>12</v>
      </c>
      <c r="C23" s="51">
        <f t="shared" si="0"/>
        <v>29.941666666666663</v>
      </c>
      <c r="D23" s="51">
        <f t="shared" si="1"/>
        <v>359.29999999999995</v>
      </c>
      <c r="E23" s="49">
        <v>240.42</v>
      </c>
      <c r="F23" s="49">
        <f t="shared" si="2"/>
        <v>8.0296131366546071</v>
      </c>
      <c r="G23" s="52">
        <f t="shared" si="3"/>
        <v>0.12453900119235781</v>
      </c>
      <c r="I23" s="49">
        <v>34.9</v>
      </c>
      <c r="J23" s="49">
        <v>30.7</v>
      </c>
      <c r="K23" s="49">
        <v>26.3</v>
      </c>
      <c r="L23" s="49">
        <v>24</v>
      </c>
      <c r="M23" s="49">
        <v>23</v>
      </c>
      <c r="N23" s="49">
        <v>23</v>
      </c>
      <c r="O23" s="49">
        <v>23.9</v>
      </c>
      <c r="P23" s="49">
        <v>35</v>
      </c>
      <c r="Q23" s="49">
        <v>35</v>
      </c>
      <c r="R23" s="49">
        <v>35</v>
      </c>
      <c r="S23" s="49">
        <v>33.5</v>
      </c>
      <c r="T23" s="49">
        <v>35</v>
      </c>
    </row>
    <row r="24" spans="1:20" s="53" customFormat="1" ht="15.75" customHeight="1" x14ac:dyDescent="0.25">
      <c r="A24" s="50">
        <v>1930</v>
      </c>
      <c r="B24" s="50">
        <v>12</v>
      </c>
      <c r="C24" s="51">
        <f t="shared" si="0"/>
        <v>34.591666666666669</v>
      </c>
      <c r="D24" s="51">
        <f t="shared" si="1"/>
        <v>415.1</v>
      </c>
      <c r="E24" s="49">
        <v>240.42</v>
      </c>
      <c r="F24" s="49">
        <f t="shared" si="2"/>
        <v>6.950228860515538</v>
      </c>
      <c r="G24" s="52">
        <f t="shared" si="3"/>
        <v>0.14388015417463884</v>
      </c>
      <c r="I24" s="49">
        <v>35</v>
      </c>
      <c r="J24" s="49">
        <v>35</v>
      </c>
      <c r="K24" s="49">
        <v>34.799999999999997</v>
      </c>
      <c r="L24" s="49">
        <v>35</v>
      </c>
      <c r="M24" s="49">
        <v>34.4</v>
      </c>
      <c r="N24" s="49">
        <v>33</v>
      </c>
      <c r="O24" s="49">
        <v>34.6</v>
      </c>
      <c r="P24" s="49">
        <v>35</v>
      </c>
      <c r="Q24" s="49">
        <v>35</v>
      </c>
      <c r="R24" s="49">
        <v>34</v>
      </c>
      <c r="S24" s="49">
        <v>34</v>
      </c>
      <c r="T24" s="49">
        <v>35.299999999999997</v>
      </c>
    </row>
    <row r="25" spans="1:20" s="53" customFormat="1" ht="15.75" customHeight="1" x14ac:dyDescent="0.25">
      <c r="A25" s="50">
        <v>1931</v>
      </c>
      <c r="B25" s="50">
        <v>12</v>
      </c>
      <c r="C25" s="51">
        <f t="shared" si="0"/>
        <v>36.425000000000004</v>
      </c>
      <c r="D25" s="51">
        <f t="shared" si="1"/>
        <v>437.1</v>
      </c>
      <c r="E25" s="49">
        <v>240.42</v>
      </c>
      <c r="F25" s="49">
        <f t="shared" si="2"/>
        <v>6.6004118050789282</v>
      </c>
      <c r="G25" s="52">
        <f t="shared" si="3"/>
        <v>0.15150569836120126</v>
      </c>
      <c r="I25" s="49">
        <v>36</v>
      </c>
      <c r="J25" s="49">
        <v>36</v>
      </c>
      <c r="K25" s="49">
        <v>36</v>
      </c>
      <c r="L25" s="49">
        <v>36</v>
      </c>
      <c r="M25" s="49">
        <v>37</v>
      </c>
      <c r="N25" s="49">
        <v>37</v>
      </c>
      <c r="O25" s="49">
        <v>37</v>
      </c>
      <c r="P25" s="49">
        <v>37</v>
      </c>
      <c r="Q25" s="49">
        <v>37</v>
      </c>
      <c r="R25" s="49">
        <v>37</v>
      </c>
      <c r="S25" s="49">
        <v>34.799999999999997</v>
      </c>
      <c r="T25" s="49">
        <v>36.299999999999997</v>
      </c>
    </row>
    <row r="26" spans="1:20" s="53" customFormat="1" ht="15.75" customHeight="1" x14ac:dyDescent="0.25">
      <c r="A26" s="50">
        <v>1932</v>
      </c>
      <c r="B26" s="50">
        <v>12</v>
      </c>
      <c r="C26" s="51">
        <f t="shared" si="0"/>
        <v>34.524999999999999</v>
      </c>
      <c r="D26" s="51">
        <f t="shared" si="1"/>
        <v>414.3</v>
      </c>
      <c r="E26" s="49">
        <v>240.42</v>
      </c>
      <c r="F26" s="49">
        <f t="shared" si="2"/>
        <v>6.9636495293265748</v>
      </c>
      <c r="G26" s="52">
        <f t="shared" si="3"/>
        <v>0.14360286165876382</v>
      </c>
      <c r="I26" s="49">
        <v>36.799999999999997</v>
      </c>
      <c r="J26" s="49">
        <v>35</v>
      </c>
      <c r="K26" s="49">
        <v>35</v>
      </c>
      <c r="L26" s="49">
        <v>35.9</v>
      </c>
      <c r="M26" s="49">
        <v>35</v>
      </c>
      <c r="N26" s="49">
        <v>34</v>
      </c>
      <c r="O26" s="49">
        <v>34.799999999999997</v>
      </c>
      <c r="P26" s="49">
        <v>35</v>
      </c>
      <c r="Q26" s="49">
        <v>35</v>
      </c>
      <c r="R26" s="49">
        <v>34</v>
      </c>
      <c r="S26" s="49">
        <v>35</v>
      </c>
      <c r="T26" s="49">
        <v>28.8</v>
      </c>
    </row>
    <row r="27" spans="1:20" s="53" customFormat="1" ht="15.75" customHeight="1" x14ac:dyDescent="0.25">
      <c r="A27" s="50">
        <v>1933</v>
      </c>
      <c r="B27" s="50">
        <v>12</v>
      </c>
      <c r="C27" s="51">
        <f t="shared" si="0"/>
        <v>33.35</v>
      </c>
      <c r="D27" s="51">
        <f t="shared" si="1"/>
        <v>400.2</v>
      </c>
      <c r="E27" s="49">
        <v>240.42</v>
      </c>
      <c r="F27" s="49">
        <f t="shared" si="2"/>
        <v>7.2089955022488752</v>
      </c>
      <c r="G27" s="52">
        <f t="shared" si="3"/>
        <v>0.13871558106646703</v>
      </c>
      <c r="I27" s="49">
        <v>35.200000000000003</v>
      </c>
      <c r="J27" s="49">
        <v>34.4</v>
      </c>
      <c r="K27" s="49">
        <v>34</v>
      </c>
      <c r="L27" s="49">
        <v>33.1</v>
      </c>
      <c r="M27" s="49">
        <v>33</v>
      </c>
      <c r="N27" s="49">
        <v>33</v>
      </c>
      <c r="O27" s="49">
        <v>33</v>
      </c>
      <c r="P27" s="49">
        <v>33</v>
      </c>
      <c r="Q27" s="49">
        <v>33</v>
      </c>
      <c r="R27" s="49">
        <v>33</v>
      </c>
      <c r="S27" s="49">
        <v>32.5</v>
      </c>
      <c r="T27" s="49">
        <v>33</v>
      </c>
    </row>
    <row r="28" spans="1:20" s="53" customFormat="1" ht="15.75" customHeight="1" x14ac:dyDescent="0.25">
      <c r="A28" s="50">
        <v>1934</v>
      </c>
      <c r="B28" s="50">
        <v>12</v>
      </c>
      <c r="C28" s="51">
        <f t="shared" si="0"/>
        <v>29.866666666666664</v>
      </c>
      <c r="D28" s="51">
        <f t="shared" si="1"/>
        <v>358.4</v>
      </c>
      <c r="E28" s="49">
        <v>240.42</v>
      </c>
      <c r="F28" s="49">
        <f t="shared" si="2"/>
        <v>8.0497767857142861</v>
      </c>
      <c r="G28" s="52">
        <f t="shared" si="3"/>
        <v>0.12422704711199845</v>
      </c>
      <c r="I28" s="49">
        <v>33</v>
      </c>
      <c r="J28" s="49">
        <v>33</v>
      </c>
      <c r="K28" s="49">
        <v>32.6</v>
      </c>
      <c r="L28" s="49">
        <v>30</v>
      </c>
      <c r="M28" s="49">
        <v>29.6</v>
      </c>
      <c r="N28" s="49">
        <v>30</v>
      </c>
      <c r="O28" s="49">
        <v>32</v>
      </c>
      <c r="P28" s="49">
        <v>28.7</v>
      </c>
      <c r="Q28" s="49">
        <v>28</v>
      </c>
      <c r="R28" s="49">
        <v>28</v>
      </c>
      <c r="S28" s="49">
        <v>27.7</v>
      </c>
      <c r="T28" s="49">
        <v>25.8</v>
      </c>
    </row>
    <row r="29" spans="1:20" s="53" customFormat="1" ht="15.75" customHeight="1" x14ac:dyDescent="0.25">
      <c r="A29" s="50">
        <v>1935</v>
      </c>
      <c r="B29" s="50">
        <v>12</v>
      </c>
      <c r="C29" s="51">
        <f t="shared" si="0"/>
        <v>20.541666666666668</v>
      </c>
      <c r="D29" s="51">
        <f t="shared" si="1"/>
        <v>246.5</v>
      </c>
      <c r="E29" s="49">
        <v>240.42</v>
      </c>
      <c r="F29" s="49">
        <f t="shared" si="2"/>
        <v>11.704016227180526</v>
      </c>
      <c r="G29" s="52">
        <f t="shared" si="3"/>
        <v>8.5440756453983316E-2</v>
      </c>
      <c r="I29" s="49">
        <v>18.5</v>
      </c>
      <c r="J29" s="49">
        <v>18</v>
      </c>
      <c r="K29" s="49">
        <v>18</v>
      </c>
      <c r="L29" s="49">
        <v>19</v>
      </c>
      <c r="M29" s="49">
        <v>19</v>
      </c>
      <c r="N29" s="49">
        <v>21</v>
      </c>
      <c r="O29" s="49">
        <v>21.4</v>
      </c>
      <c r="P29" s="49">
        <v>23</v>
      </c>
      <c r="Q29" s="49">
        <v>23</v>
      </c>
      <c r="R29" s="49">
        <v>22</v>
      </c>
      <c r="S29" s="49">
        <v>21.6</v>
      </c>
      <c r="T29" s="49">
        <v>22</v>
      </c>
    </row>
    <row r="30" spans="1:20" s="53" customFormat="1" ht="15.75" customHeight="1" x14ac:dyDescent="0.25">
      <c r="A30" s="50">
        <v>1936</v>
      </c>
      <c r="B30" s="50">
        <v>12</v>
      </c>
      <c r="C30" s="51">
        <f t="shared" si="0"/>
        <v>19.216666666666665</v>
      </c>
      <c r="D30" s="51">
        <f t="shared" si="1"/>
        <v>230.6</v>
      </c>
      <c r="E30" s="49">
        <v>240.42</v>
      </c>
      <c r="F30" s="49">
        <f t="shared" si="2"/>
        <v>12.511014744145708</v>
      </c>
      <c r="G30" s="52">
        <f t="shared" si="3"/>
        <v>7.9929567700967749E-2</v>
      </c>
      <c r="I30" s="49">
        <v>21.5</v>
      </c>
      <c r="J30" s="49">
        <v>20</v>
      </c>
      <c r="K30" s="49">
        <v>19.899999999999999</v>
      </c>
      <c r="L30" s="49">
        <v>19</v>
      </c>
      <c r="M30" s="49">
        <v>19</v>
      </c>
      <c r="N30" s="49">
        <v>19</v>
      </c>
      <c r="O30" s="49">
        <v>19</v>
      </c>
      <c r="P30" s="49">
        <v>19</v>
      </c>
      <c r="Q30" s="49">
        <v>19</v>
      </c>
      <c r="R30" s="49">
        <v>19</v>
      </c>
      <c r="S30" s="49">
        <v>17.2</v>
      </c>
      <c r="T30" s="49">
        <v>19</v>
      </c>
    </row>
    <row r="31" spans="1:20" s="53" customFormat="1" ht="15.75" customHeight="1" x14ac:dyDescent="0.25">
      <c r="A31" s="50">
        <v>1937</v>
      </c>
      <c r="B31" s="50">
        <v>12</v>
      </c>
      <c r="C31" s="51">
        <f t="shared" si="0"/>
        <v>17.983333333333334</v>
      </c>
      <c r="D31" s="51">
        <f t="shared" si="1"/>
        <v>215.8</v>
      </c>
      <c r="E31" s="49">
        <v>240.42</v>
      </c>
      <c r="F31" s="49">
        <f t="shared" si="2"/>
        <v>13.369045412418904</v>
      </c>
      <c r="G31" s="52">
        <f t="shared" si="3"/>
        <v>7.479965615728032E-2</v>
      </c>
      <c r="I31" s="49">
        <v>18.8</v>
      </c>
      <c r="J31" s="49">
        <v>18</v>
      </c>
      <c r="K31" s="49">
        <v>18</v>
      </c>
      <c r="L31" s="49">
        <v>18</v>
      </c>
      <c r="M31" s="49">
        <v>18</v>
      </c>
      <c r="N31" s="49">
        <v>18</v>
      </c>
      <c r="O31" s="49">
        <v>18</v>
      </c>
      <c r="P31" s="49">
        <v>18</v>
      </c>
      <c r="Q31" s="49">
        <v>18</v>
      </c>
      <c r="R31" s="49">
        <v>18</v>
      </c>
      <c r="S31" s="49">
        <v>17</v>
      </c>
      <c r="T31" s="49">
        <v>18</v>
      </c>
    </row>
    <row r="32" spans="1:20" s="53" customFormat="1" ht="15.75" customHeight="1" x14ac:dyDescent="0.25">
      <c r="A32" s="50">
        <v>1938</v>
      </c>
      <c r="B32" s="50">
        <v>12</v>
      </c>
      <c r="C32" s="51">
        <f t="shared" si="0"/>
        <v>19.641666666666666</v>
      </c>
      <c r="D32" s="51">
        <f t="shared" si="1"/>
        <v>235.7</v>
      </c>
      <c r="E32" s="49">
        <v>240.42</v>
      </c>
      <c r="F32" s="49">
        <f t="shared" si="2"/>
        <v>12.240305473058973</v>
      </c>
      <c r="G32" s="52">
        <f t="shared" si="3"/>
        <v>8.1697307489670856E-2</v>
      </c>
      <c r="I32" s="49">
        <v>18</v>
      </c>
      <c r="J32" s="49">
        <v>18</v>
      </c>
      <c r="K32" s="49">
        <v>18</v>
      </c>
      <c r="L32" s="49">
        <v>18</v>
      </c>
      <c r="M32" s="49">
        <v>18</v>
      </c>
      <c r="N32" s="49">
        <v>18</v>
      </c>
      <c r="O32" s="49">
        <v>21</v>
      </c>
      <c r="P32" s="49">
        <v>21</v>
      </c>
      <c r="Q32" s="49">
        <v>21</v>
      </c>
      <c r="R32" s="49">
        <v>20.7</v>
      </c>
      <c r="S32" s="49">
        <v>22</v>
      </c>
      <c r="T32" s="49">
        <v>22</v>
      </c>
    </row>
    <row r="33" spans="1:20" s="53" customFormat="1" ht="15.75" customHeight="1" x14ac:dyDescent="0.25">
      <c r="A33" s="50">
        <v>1939</v>
      </c>
      <c r="B33" s="50">
        <v>12</v>
      </c>
      <c r="C33" s="51">
        <f t="shared" si="0"/>
        <v>20.725000000000001</v>
      </c>
      <c r="D33" s="51">
        <f t="shared" si="1"/>
        <v>248.70000000000002</v>
      </c>
      <c r="E33" s="49">
        <v>240.42</v>
      </c>
      <c r="F33" s="49">
        <f t="shared" si="2"/>
        <v>11.600482509047044</v>
      </c>
      <c r="G33" s="52">
        <f t="shared" si="3"/>
        <v>8.6203310872639563E-2</v>
      </c>
      <c r="I33" s="49">
        <v>20.6</v>
      </c>
      <c r="J33" s="49">
        <v>20</v>
      </c>
      <c r="K33" s="49">
        <v>20</v>
      </c>
      <c r="L33" s="49">
        <v>20.2</v>
      </c>
      <c r="M33" s="49">
        <v>21</v>
      </c>
      <c r="N33" s="49">
        <v>21</v>
      </c>
      <c r="O33" s="49">
        <v>21</v>
      </c>
      <c r="P33" s="49">
        <v>21</v>
      </c>
      <c r="Q33" s="49">
        <v>21</v>
      </c>
      <c r="R33" s="49">
        <v>21</v>
      </c>
      <c r="S33" s="49">
        <v>19.899999999999999</v>
      </c>
      <c r="T33" s="49">
        <v>22</v>
      </c>
    </row>
    <row r="34" spans="1:20" s="53" customFormat="1" ht="15.75" customHeight="1" x14ac:dyDescent="0.25">
      <c r="A34" s="50">
        <v>1940</v>
      </c>
      <c r="B34" s="50">
        <v>12</v>
      </c>
      <c r="C34" s="51">
        <f t="shared" si="0"/>
        <v>21.074999999999999</v>
      </c>
      <c r="D34" s="51">
        <f t="shared" si="1"/>
        <v>252.9</v>
      </c>
      <c r="E34" s="49">
        <v>240.42</v>
      </c>
      <c r="F34" s="49">
        <f t="shared" si="2"/>
        <v>11.407829181494662</v>
      </c>
      <c r="G34" s="52">
        <f t="shared" si="3"/>
        <v>8.7659096580983281E-2</v>
      </c>
      <c r="I34" s="49">
        <v>22</v>
      </c>
      <c r="J34" s="49">
        <v>22</v>
      </c>
      <c r="K34" s="49">
        <v>22</v>
      </c>
      <c r="L34" s="49">
        <v>22</v>
      </c>
      <c r="M34" s="49">
        <v>22</v>
      </c>
      <c r="N34" s="49">
        <v>22</v>
      </c>
      <c r="O34" s="49">
        <v>21.5</v>
      </c>
      <c r="P34" s="49">
        <v>21</v>
      </c>
      <c r="Q34" s="49">
        <v>20.2</v>
      </c>
      <c r="R34" s="49">
        <v>19.8</v>
      </c>
      <c r="S34" s="49">
        <v>17.3</v>
      </c>
      <c r="T34" s="49">
        <v>21.1</v>
      </c>
    </row>
    <row r="35" spans="1:20" s="53" customFormat="1" ht="15.75" customHeight="1" x14ac:dyDescent="0.25">
      <c r="A35" s="50">
        <v>1941</v>
      </c>
      <c r="B35" s="50">
        <v>12</v>
      </c>
      <c r="C35" s="51">
        <f t="shared" si="0"/>
        <v>24.841666666666669</v>
      </c>
      <c r="D35" s="51">
        <f t="shared" si="1"/>
        <v>298.10000000000002</v>
      </c>
      <c r="E35" s="49">
        <v>240.42</v>
      </c>
      <c r="F35" s="49">
        <f t="shared" si="2"/>
        <v>9.6780945991278085</v>
      </c>
      <c r="G35" s="52">
        <f t="shared" si="3"/>
        <v>0.10332612372792059</v>
      </c>
      <c r="I35" s="49">
        <v>18.899999999999999</v>
      </c>
      <c r="J35" s="49">
        <v>24.3</v>
      </c>
      <c r="K35" s="49">
        <v>21</v>
      </c>
      <c r="L35" s="49">
        <v>24.8</v>
      </c>
      <c r="M35" s="49">
        <v>25</v>
      </c>
      <c r="N35" s="49">
        <v>25.8</v>
      </c>
      <c r="O35" s="49">
        <v>28</v>
      </c>
      <c r="P35" s="49">
        <v>28</v>
      </c>
      <c r="Q35" s="49">
        <v>28</v>
      </c>
      <c r="R35" s="49">
        <v>25.5</v>
      </c>
      <c r="S35" s="49">
        <v>24.8</v>
      </c>
      <c r="T35" s="49">
        <v>24</v>
      </c>
    </row>
    <row r="36" spans="1:20" s="53" customFormat="1" ht="15.75" customHeight="1" x14ac:dyDescent="0.25">
      <c r="A36" s="50">
        <v>1942</v>
      </c>
      <c r="B36" s="50">
        <v>12</v>
      </c>
      <c r="C36" s="51">
        <f t="shared" si="0"/>
        <v>23.024999999999995</v>
      </c>
      <c r="D36" s="51">
        <f t="shared" si="1"/>
        <v>276.29999999999995</v>
      </c>
      <c r="E36" s="49">
        <v>240.42</v>
      </c>
      <c r="F36" s="49">
        <f t="shared" si="2"/>
        <v>10.44169381107492</v>
      </c>
      <c r="G36" s="52">
        <f t="shared" si="3"/>
        <v>9.5769902670326909E-2</v>
      </c>
      <c r="I36" s="49">
        <v>24</v>
      </c>
      <c r="J36" s="49">
        <v>24</v>
      </c>
      <c r="K36" s="49">
        <v>24</v>
      </c>
      <c r="L36" s="49">
        <v>24</v>
      </c>
      <c r="M36" s="49">
        <v>24</v>
      </c>
      <c r="N36" s="49">
        <v>23.7</v>
      </c>
      <c r="O36" s="49">
        <v>23</v>
      </c>
      <c r="P36" s="49">
        <v>23</v>
      </c>
      <c r="Q36" s="49">
        <v>23</v>
      </c>
      <c r="R36" s="49">
        <v>20.6</v>
      </c>
      <c r="S36" s="49">
        <v>21</v>
      </c>
      <c r="T36" s="49">
        <v>22</v>
      </c>
    </row>
    <row r="37" spans="1:20" s="53" customFormat="1" ht="15.75" customHeight="1" x14ac:dyDescent="0.25">
      <c r="A37" s="50">
        <v>1943</v>
      </c>
      <c r="B37" s="50">
        <v>12</v>
      </c>
      <c r="C37" s="51">
        <f t="shared" si="0"/>
        <v>21.233333333333331</v>
      </c>
      <c r="D37" s="51">
        <f t="shared" si="1"/>
        <v>254.79999999999998</v>
      </c>
      <c r="E37" s="49">
        <v>240.42</v>
      </c>
      <c r="F37" s="49">
        <f t="shared" si="2"/>
        <v>11.322762951334381</v>
      </c>
      <c r="G37" s="52">
        <f t="shared" si="3"/>
        <v>8.8317666306186385E-2</v>
      </c>
      <c r="I37" s="49">
        <v>22</v>
      </c>
      <c r="J37" s="49">
        <v>22</v>
      </c>
      <c r="K37" s="49">
        <v>22</v>
      </c>
      <c r="L37" s="49">
        <v>22</v>
      </c>
      <c r="M37" s="49">
        <v>22</v>
      </c>
      <c r="N37" s="49">
        <v>22</v>
      </c>
      <c r="O37" s="49">
        <v>22</v>
      </c>
      <c r="P37" s="49">
        <v>22</v>
      </c>
      <c r="Q37" s="49">
        <v>22</v>
      </c>
      <c r="R37" s="49">
        <v>22</v>
      </c>
      <c r="S37" s="49">
        <v>18.7</v>
      </c>
      <c r="T37" s="49">
        <v>16.100000000000001</v>
      </c>
    </row>
    <row r="38" spans="1:20" s="53" customFormat="1" ht="15.75" customHeight="1" x14ac:dyDescent="0.25">
      <c r="A38" s="50">
        <v>1944</v>
      </c>
      <c r="B38" s="50">
        <v>12</v>
      </c>
      <c r="C38" s="51">
        <f t="shared" si="0"/>
        <v>10.141666666666667</v>
      </c>
      <c r="D38" s="51">
        <f t="shared" si="1"/>
        <v>121.7</v>
      </c>
      <c r="E38" s="49">
        <v>240.42</v>
      </c>
      <c r="F38" s="49">
        <f t="shared" si="2"/>
        <v>23.70616269515201</v>
      </c>
      <c r="G38" s="52">
        <f t="shared" si="3"/>
        <v>4.2183123977483854E-2</v>
      </c>
      <c r="I38" s="49">
        <v>13.5</v>
      </c>
      <c r="J38" s="49">
        <v>9.6</v>
      </c>
      <c r="K38" s="49">
        <v>10</v>
      </c>
      <c r="L38" s="49">
        <v>10</v>
      </c>
      <c r="M38" s="49">
        <v>10</v>
      </c>
      <c r="N38" s="49">
        <v>10</v>
      </c>
      <c r="O38" s="49">
        <v>9.9</v>
      </c>
      <c r="P38" s="49">
        <v>10</v>
      </c>
      <c r="Q38" s="49">
        <v>9.4</v>
      </c>
      <c r="R38" s="49">
        <v>9.1999999999999993</v>
      </c>
      <c r="S38" s="49">
        <v>10</v>
      </c>
      <c r="T38" s="49">
        <v>10.1</v>
      </c>
    </row>
    <row r="39" spans="1:20" s="53" customFormat="1" ht="15.75" customHeight="1" x14ac:dyDescent="0.25">
      <c r="A39" s="50">
        <v>1945</v>
      </c>
      <c r="B39" s="50">
        <v>12</v>
      </c>
      <c r="C39" s="51">
        <f t="shared" si="0"/>
        <v>15.575000000000003</v>
      </c>
      <c r="D39" s="51">
        <f t="shared" si="1"/>
        <v>186.90000000000003</v>
      </c>
      <c r="E39" s="49">
        <v>240.42</v>
      </c>
      <c r="F39" s="49">
        <f t="shared" si="2"/>
        <v>15.43627608346709</v>
      </c>
      <c r="G39" s="52">
        <f t="shared" si="3"/>
        <v>6.4782464021296074E-2</v>
      </c>
      <c r="I39" s="49">
        <v>11</v>
      </c>
      <c r="J39" s="49">
        <v>14</v>
      </c>
      <c r="K39" s="49">
        <v>17</v>
      </c>
      <c r="L39" s="49">
        <v>17</v>
      </c>
      <c r="M39" s="49">
        <v>17</v>
      </c>
      <c r="N39" s="49">
        <v>17</v>
      </c>
      <c r="O39" s="49">
        <v>17</v>
      </c>
      <c r="P39" s="49">
        <v>16.899999999999999</v>
      </c>
      <c r="Q39" s="49">
        <v>15.4</v>
      </c>
      <c r="R39" s="49">
        <v>15.3</v>
      </c>
      <c r="S39" s="49">
        <v>14.5</v>
      </c>
      <c r="T39" s="49">
        <v>14.8</v>
      </c>
    </row>
    <row r="40" spans="1:20" s="53" customFormat="1" ht="15.75" customHeight="1" x14ac:dyDescent="0.25">
      <c r="A40" s="50">
        <v>1946</v>
      </c>
      <c r="B40" s="50">
        <v>12</v>
      </c>
      <c r="C40" s="51">
        <f t="shared" si="0"/>
        <v>13.75</v>
      </c>
      <c r="D40" s="51">
        <f t="shared" si="1"/>
        <v>165</v>
      </c>
      <c r="E40" s="49">
        <v>240.42</v>
      </c>
      <c r="F40" s="49">
        <f t="shared" si="2"/>
        <v>17.485090909090907</v>
      </c>
      <c r="G40" s="52">
        <f t="shared" si="3"/>
        <v>5.7191581399218039E-2</v>
      </c>
      <c r="I40" s="49">
        <v>13</v>
      </c>
      <c r="J40" s="49">
        <v>13.1</v>
      </c>
      <c r="K40" s="49">
        <v>14</v>
      </c>
      <c r="L40" s="49">
        <v>14</v>
      </c>
      <c r="M40" s="49">
        <v>13.7</v>
      </c>
      <c r="N40" s="49">
        <v>13.2</v>
      </c>
      <c r="O40" s="49">
        <v>13.9</v>
      </c>
      <c r="P40" s="49">
        <v>14</v>
      </c>
      <c r="Q40" s="49">
        <v>14</v>
      </c>
      <c r="R40" s="49">
        <v>12.2</v>
      </c>
      <c r="S40" s="49">
        <v>15</v>
      </c>
      <c r="T40" s="49">
        <v>14.9</v>
      </c>
    </row>
    <row r="41" spans="1:20" s="53" customFormat="1" ht="15.75" customHeight="1" x14ac:dyDescent="0.25">
      <c r="A41" s="50">
        <v>1947</v>
      </c>
      <c r="B41" s="50">
        <v>12</v>
      </c>
      <c r="C41" s="51">
        <f t="shared" si="0"/>
        <v>14.733333333333334</v>
      </c>
      <c r="D41" s="51">
        <f t="shared" si="1"/>
        <v>176.8</v>
      </c>
      <c r="E41" s="49">
        <v>240.42</v>
      </c>
      <c r="F41" s="49">
        <f t="shared" si="2"/>
        <v>16.318099547511309</v>
      </c>
      <c r="G41" s="52">
        <f t="shared" si="3"/>
        <v>6.1281646008374241E-2</v>
      </c>
      <c r="I41" s="49">
        <v>15</v>
      </c>
      <c r="J41" s="49">
        <v>15</v>
      </c>
      <c r="K41" s="49">
        <v>15</v>
      </c>
      <c r="L41" s="49">
        <v>15</v>
      </c>
      <c r="M41" s="49">
        <v>15</v>
      </c>
      <c r="N41" s="49">
        <v>15</v>
      </c>
      <c r="O41" s="49">
        <v>15</v>
      </c>
      <c r="P41" s="49">
        <v>15</v>
      </c>
      <c r="Q41" s="49">
        <v>15</v>
      </c>
      <c r="R41" s="49">
        <v>12.4</v>
      </c>
      <c r="S41" s="49">
        <v>14.4</v>
      </c>
      <c r="T41" s="49">
        <v>15</v>
      </c>
    </row>
    <row r="42" spans="1:20" s="53" customFormat="1" ht="15.75" customHeight="1" x14ac:dyDescent="0.25">
      <c r="A42" s="50">
        <v>1948</v>
      </c>
      <c r="B42" s="50">
        <v>12</v>
      </c>
      <c r="C42" s="51">
        <f t="shared" si="0"/>
        <v>14.475000000000001</v>
      </c>
      <c r="D42" s="51">
        <f t="shared" si="1"/>
        <v>173.70000000000002</v>
      </c>
      <c r="E42" s="49">
        <v>240.42</v>
      </c>
      <c r="F42" s="49">
        <f t="shared" si="2"/>
        <v>16.609326424870464</v>
      </c>
      <c r="G42" s="52">
        <f t="shared" si="3"/>
        <v>6.0207137509358633E-2</v>
      </c>
      <c r="I42" s="49">
        <v>14.8</v>
      </c>
      <c r="J42" s="49">
        <v>14</v>
      </c>
      <c r="K42" s="49">
        <v>14.8</v>
      </c>
      <c r="L42" s="49">
        <v>15</v>
      </c>
      <c r="M42" s="49">
        <v>15</v>
      </c>
      <c r="N42" s="49">
        <v>15</v>
      </c>
      <c r="O42" s="49">
        <v>15</v>
      </c>
      <c r="P42" s="49">
        <v>15</v>
      </c>
      <c r="Q42" s="49">
        <v>15</v>
      </c>
      <c r="R42" s="49">
        <v>15</v>
      </c>
      <c r="S42" s="49">
        <v>14.3</v>
      </c>
      <c r="T42" s="49">
        <v>10.8</v>
      </c>
    </row>
    <row r="43" spans="1:20" s="53" customFormat="1" ht="15.75" customHeight="1" x14ac:dyDescent="0.25">
      <c r="A43" s="50">
        <v>1949</v>
      </c>
      <c r="B43" s="50">
        <v>12</v>
      </c>
      <c r="C43" s="51">
        <f t="shared" si="0"/>
        <v>10.308333333333334</v>
      </c>
      <c r="D43" s="51">
        <f t="shared" si="1"/>
        <v>123.7</v>
      </c>
      <c r="E43" s="49">
        <v>240.42</v>
      </c>
      <c r="F43" s="49">
        <f t="shared" si="2"/>
        <v>23.32287793047696</v>
      </c>
      <c r="G43" s="52">
        <f t="shared" si="3"/>
        <v>4.2876355267171345E-2</v>
      </c>
      <c r="I43" s="49">
        <v>11</v>
      </c>
      <c r="J43" s="49">
        <v>11</v>
      </c>
      <c r="K43" s="49">
        <v>11</v>
      </c>
      <c r="L43" s="49">
        <v>11</v>
      </c>
      <c r="M43" s="49">
        <v>11</v>
      </c>
      <c r="N43" s="49">
        <v>10.4</v>
      </c>
      <c r="O43" s="49">
        <v>10</v>
      </c>
      <c r="P43" s="49">
        <v>10</v>
      </c>
      <c r="Q43" s="49">
        <v>10</v>
      </c>
      <c r="R43" s="49">
        <v>8.3000000000000007</v>
      </c>
      <c r="S43" s="49">
        <v>10</v>
      </c>
      <c r="T43" s="49">
        <v>10</v>
      </c>
    </row>
    <row r="44" spans="1:20" s="53" customFormat="1" ht="15.75" customHeight="1" x14ac:dyDescent="0.25">
      <c r="A44" s="50">
        <v>1950</v>
      </c>
      <c r="B44" s="50">
        <v>12</v>
      </c>
      <c r="C44" s="51">
        <f t="shared" si="0"/>
        <v>10.641666666666667</v>
      </c>
      <c r="D44" s="51">
        <f t="shared" si="1"/>
        <v>127.7</v>
      </c>
      <c r="E44" s="49">
        <v>240.42</v>
      </c>
      <c r="F44" s="49">
        <f t="shared" si="2"/>
        <v>22.592325763508221</v>
      </c>
      <c r="G44" s="52">
        <f t="shared" si="3"/>
        <v>4.4262817846546329E-2</v>
      </c>
      <c r="I44" s="49">
        <v>10</v>
      </c>
      <c r="J44" s="49">
        <v>10</v>
      </c>
      <c r="K44" s="49">
        <v>10</v>
      </c>
      <c r="L44" s="49">
        <v>10</v>
      </c>
      <c r="M44" s="49">
        <v>9.5</v>
      </c>
      <c r="N44" s="49">
        <v>9.9</v>
      </c>
      <c r="O44" s="49">
        <v>11</v>
      </c>
      <c r="P44" s="49">
        <v>11</v>
      </c>
      <c r="Q44" s="49">
        <v>11</v>
      </c>
      <c r="R44" s="49">
        <v>10.5</v>
      </c>
      <c r="S44" s="49">
        <v>11.8</v>
      </c>
      <c r="T44" s="49">
        <v>13</v>
      </c>
    </row>
    <row r="45" spans="1:20" s="53" customFormat="1" ht="15.75" customHeight="1" x14ac:dyDescent="0.25">
      <c r="A45" s="50">
        <v>1951</v>
      </c>
      <c r="B45" s="50">
        <v>12</v>
      </c>
      <c r="C45" s="51">
        <f t="shared" si="0"/>
        <v>13.958333333333334</v>
      </c>
      <c r="D45" s="51">
        <f t="shared" si="1"/>
        <v>167.5</v>
      </c>
      <c r="E45" s="49">
        <v>240.42</v>
      </c>
      <c r="F45" s="49">
        <f t="shared" si="2"/>
        <v>17.224119402985075</v>
      </c>
      <c r="G45" s="52">
        <f t="shared" si="3"/>
        <v>5.8058120511327402E-2</v>
      </c>
      <c r="I45" s="49">
        <v>13</v>
      </c>
      <c r="J45" s="49">
        <v>13</v>
      </c>
      <c r="K45" s="49">
        <v>13</v>
      </c>
      <c r="L45" s="49">
        <v>13</v>
      </c>
      <c r="M45" s="49">
        <v>13</v>
      </c>
      <c r="N45" s="49">
        <v>13</v>
      </c>
      <c r="O45" s="49">
        <v>13</v>
      </c>
      <c r="P45" s="49">
        <v>13.1</v>
      </c>
      <c r="Q45" s="49">
        <v>15.2</v>
      </c>
      <c r="R45" s="49">
        <v>16</v>
      </c>
      <c r="S45" s="49">
        <v>16.2</v>
      </c>
      <c r="T45" s="49">
        <v>16</v>
      </c>
    </row>
    <row r="46" spans="1:20" s="53" customFormat="1" ht="15.75" customHeight="1" x14ac:dyDescent="0.25">
      <c r="A46" s="50">
        <v>1952</v>
      </c>
      <c r="B46" s="50">
        <v>12</v>
      </c>
      <c r="C46" s="51">
        <f t="shared" si="0"/>
        <v>15.291666666666666</v>
      </c>
      <c r="D46" s="51">
        <f t="shared" si="1"/>
        <v>183.5</v>
      </c>
      <c r="E46" s="49">
        <v>240.42</v>
      </c>
      <c r="F46" s="49">
        <f t="shared" si="2"/>
        <v>15.722288828337874</v>
      </c>
      <c r="G46" s="52">
        <f t="shared" si="3"/>
        <v>6.3603970828827336E-2</v>
      </c>
      <c r="I46" s="49">
        <v>16</v>
      </c>
      <c r="J46" s="49">
        <v>16</v>
      </c>
      <c r="K46" s="49">
        <v>16</v>
      </c>
      <c r="L46" s="49">
        <v>16</v>
      </c>
      <c r="M46" s="49">
        <v>16</v>
      </c>
      <c r="N46" s="49">
        <v>14.3</v>
      </c>
      <c r="O46" s="49">
        <v>15</v>
      </c>
      <c r="P46" s="49">
        <v>15</v>
      </c>
      <c r="Q46" s="49">
        <v>15</v>
      </c>
      <c r="R46" s="49">
        <v>15</v>
      </c>
      <c r="S46" s="49">
        <v>15</v>
      </c>
      <c r="T46" s="49">
        <v>14.2</v>
      </c>
    </row>
    <row r="47" spans="1:20" s="53" customFormat="1" ht="15.75" customHeight="1" x14ac:dyDescent="0.25">
      <c r="A47" s="50">
        <v>1953</v>
      </c>
      <c r="B47" s="50">
        <v>12</v>
      </c>
      <c r="C47" s="51">
        <f t="shared" si="0"/>
        <v>16.483333333333334</v>
      </c>
      <c r="D47" s="51">
        <f t="shared" si="1"/>
        <v>197.8</v>
      </c>
      <c r="E47" s="49">
        <v>240.42</v>
      </c>
      <c r="F47" s="49">
        <f t="shared" si="2"/>
        <v>14.585642062689583</v>
      </c>
      <c r="G47" s="52">
        <f t="shared" si="3"/>
        <v>6.8560574550092901E-2</v>
      </c>
      <c r="I47" s="49">
        <v>16.7</v>
      </c>
      <c r="J47" s="49">
        <v>17</v>
      </c>
      <c r="K47" s="49">
        <v>17</v>
      </c>
      <c r="L47" s="49">
        <v>19</v>
      </c>
      <c r="M47" s="49">
        <v>17.7</v>
      </c>
      <c r="N47" s="49">
        <v>18</v>
      </c>
      <c r="O47" s="49">
        <v>17.399999999999999</v>
      </c>
      <c r="P47" s="49">
        <v>17</v>
      </c>
      <c r="Q47" s="49">
        <v>16.899999999999999</v>
      </c>
      <c r="R47" s="49">
        <v>13.1</v>
      </c>
      <c r="S47" s="49">
        <v>14</v>
      </c>
      <c r="T47" s="49">
        <v>14</v>
      </c>
    </row>
    <row r="48" spans="1:20" s="53" customFormat="1" ht="15.75" customHeight="1" x14ac:dyDescent="0.25">
      <c r="A48" s="50">
        <v>1954</v>
      </c>
      <c r="B48" s="50">
        <v>12</v>
      </c>
      <c r="C48" s="51">
        <f t="shared" si="0"/>
        <v>15.125</v>
      </c>
      <c r="D48" s="51">
        <f t="shared" si="1"/>
        <v>181.5</v>
      </c>
      <c r="E48" s="49">
        <v>240.42</v>
      </c>
      <c r="F48" s="49">
        <f t="shared" si="2"/>
        <v>15.895537190082644</v>
      </c>
      <c r="G48" s="52">
        <f t="shared" si="3"/>
        <v>6.2910739539139837E-2</v>
      </c>
      <c r="I48" s="49">
        <v>14.9</v>
      </c>
      <c r="J48" s="49">
        <v>14.5</v>
      </c>
      <c r="K48" s="49">
        <v>17</v>
      </c>
      <c r="L48" s="49">
        <v>17</v>
      </c>
      <c r="M48" s="49">
        <v>14.3</v>
      </c>
      <c r="N48" s="49">
        <v>14</v>
      </c>
      <c r="O48" s="49">
        <v>14</v>
      </c>
      <c r="P48" s="49">
        <v>14</v>
      </c>
      <c r="Q48" s="49">
        <v>15.5</v>
      </c>
      <c r="R48" s="49">
        <v>15.3</v>
      </c>
      <c r="S48" s="49">
        <v>16</v>
      </c>
      <c r="T48" s="49">
        <v>15</v>
      </c>
    </row>
    <row r="49" spans="1:20" s="53" customFormat="1" ht="15.75" customHeight="1" x14ac:dyDescent="0.25">
      <c r="A49" s="50">
        <v>1955</v>
      </c>
      <c r="B49" s="50">
        <v>12</v>
      </c>
      <c r="C49" s="51">
        <f t="shared" si="0"/>
        <v>14.966666666666667</v>
      </c>
      <c r="D49" s="51">
        <f t="shared" si="1"/>
        <v>179.6</v>
      </c>
      <c r="E49" s="49">
        <v>240.42</v>
      </c>
      <c r="F49" s="49">
        <f t="shared" si="2"/>
        <v>16.063697104677058</v>
      </c>
      <c r="G49" s="52">
        <f t="shared" si="3"/>
        <v>6.2252169813936727E-2</v>
      </c>
      <c r="I49" s="49">
        <v>14.8</v>
      </c>
      <c r="J49" s="49">
        <v>15</v>
      </c>
      <c r="K49" s="49">
        <v>15</v>
      </c>
      <c r="L49" s="49">
        <v>15</v>
      </c>
      <c r="M49" s="49">
        <v>14.8</v>
      </c>
      <c r="N49" s="49">
        <v>15</v>
      </c>
      <c r="O49" s="49">
        <v>15</v>
      </c>
      <c r="P49" s="49">
        <v>15</v>
      </c>
      <c r="Q49" s="49">
        <v>15</v>
      </c>
      <c r="R49" s="49">
        <v>15</v>
      </c>
      <c r="S49" s="49">
        <v>15</v>
      </c>
      <c r="T49" s="49">
        <v>15</v>
      </c>
    </row>
    <row r="50" spans="1:20" s="53" customFormat="1" ht="15.75" customHeight="1" x14ac:dyDescent="0.25">
      <c r="A50" s="50">
        <v>1956</v>
      </c>
      <c r="B50" s="50">
        <v>12</v>
      </c>
      <c r="C50" s="51">
        <f t="shared" si="0"/>
        <v>15.866666666666667</v>
      </c>
      <c r="D50" s="51">
        <f t="shared" si="1"/>
        <v>190.4</v>
      </c>
      <c r="E50" s="49">
        <v>240.42</v>
      </c>
      <c r="F50" s="49">
        <f t="shared" si="2"/>
        <v>15.15252100840336</v>
      </c>
      <c r="G50" s="52">
        <f t="shared" si="3"/>
        <v>6.5995618778249179E-2</v>
      </c>
      <c r="I50" s="49">
        <v>15</v>
      </c>
      <c r="J50" s="49">
        <v>15</v>
      </c>
      <c r="K50" s="49">
        <v>15</v>
      </c>
      <c r="L50" s="49">
        <v>14.8</v>
      </c>
      <c r="M50" s="49">
        <v>16</v>
      </c>
      <c r="N50" s="49">
        <v>16</v>
      </c>
      <c r="O50" s="49">
        <v>16</v>
      </c>
      <c r="P50" s="49">
        <v>16</v>
      </c>
      <c r="Q50" s="49">
        <v>16</v>
      </c>
      <c r="R50" s="49">
        <v>16.600000000000001</v>
      </c>
      <c r="S50" s="49">
        <v>17</v>
      </c>
      <c r="T50" s="49">
        <v>17</v>
      </c>
    </row>
    <row r="51" spans="1:20" s="53" customFormat="1" ht="15.75" customHeight="1" x14ac:dyDescent="0.25">
      <c r="A51" s="50">
        <v>1957</v>
      </c>
      <c r="B51" s="50">
        <v>12</v>
      </c>
      <c r="C51" s="51">
        <f t="shared" si="0"/>
        <v>15.958333333333334</v>
      </c>
      <c r="D51" s="51">
        <f t="shared" si="1"/>
        <v>191.5</v>
      </c>
      <c r="E51" s="49">
        <v>240.42</v>
      </c>
      <c r="F51" s="49">
        <f t="shared" si="2"/>
        <v>15.065483028720625</v>
      </c>
      <c r="G51" s="52">
        <f t="shared" si="3"/>
        <v>6.6376895987577303E-2</v>
      </c>
      <c r="I51" s="49">
        <v>17</v>
      </c>
      <c r="J51" s="49">
        <v>17</v>
      </c>
      <c r="K51" s="49">
        <v>16.3</v>
      </c>
      <c r="L51" s="49">
        <v>16.899999999999999</v>
      </c>
      <c r="M51" s="49">
        <v>17</v>
      </c>
      <c r="N51" s="49">
        <v>17</v>
      </c>
      <c r="O51" s="49">
        <v>17</v>
      </c>
      <c r="P51" s="49">
        <v>17</v>
      </c>
      <c r="Q51" s="49">
        <v>17</v>
      </c>
      <c r="R51" s="49">
        <v>17</v>
      </c>
      <c r="S51" s="49">
        <v>11.3</v>
      </c>
      <c r="T51" s="49">
        <v>11</v>
      </c>
    </row>
    <row r="52" spans="1:20" s="53" customFormat="1" ht="15.75" customHeight="1" x14ac:dyDescent="0.25">
      <c r="A52" s="50">
        <v>1958</v>
      </c>
      <c r="B52" s="50">
        <v>12</v>
      </c>
      <c r="C52" s="51">
        <f t="shared" si="0"/>
        <v>11.858333333333334</v>
      </c>
      <c r="D52" s="51">
        <f t="shared" si="1"/>
        <v>142.30000000000001</v>
      </c>
      <c r="E52" s="49">
        <v>240.42</v>
      </c>
      <c r="F52" s="49">
        <f t="shared" si="2"/>
        <v>20.274349964862964</v>
      </c>
      <c r="G52" s="52">
        <f t="shared" si="3"/>
        <v>4.9323406261265017E-2</v>
      </c>
      <c r="I52" s="49">
        <v>10</v>
      </c>
      <c r="J52" s="49">
        <v>11</v>
      </c>
      <c r="K52" s="49">
        <v>12.1</v>
      </c>
      <c r="L52" s="49">
        <v>15.7</v>
      </c>
      <c r="M52" s="49">
        <v>16</v>
      </c>
      <c r="N52" s="49">
        <v>12.7</v>
      </c>
      <c r="O52" s="49">
        <v>2.5</v>
      </c>
      <c r="P52" s="49">
        <v>0</v>
      </c>
      <c r="Q52" s="49">
        <v>0</v>
      </c>
      <c r="R52" s="49">
        <v>0</v>
      </c>
      <c r="S52" s="49">
        <v>28.3</v>
      </c>
      <c r="T52" s="49">
        <v>34</v>
      </c>
    </row>
    <row r="53" spans="1:20" s="53" customFormat="1" ht="15.75" customHeight="1" x14ac:dyDescent="0.25">
      <c r="A53" s="50">
        <v>1959</v>
      </c>
      <c r="B53" s="50">
        <v>12</v>
      </c>
      <c r="C53" s="51">
        <f t="shared" si="0"/>
        <v>29.616666666666664</v>
      </c>
      <c r="D53" s="51">
        <f t="shared" si="1"/>
        <v>355.4</v>
      </c>
      <c r="E53" s="49">
        <v>240.42</v>
      </c>
      <c r="F53" s="49">
        <f t="shared" si="2"/>
        <v>8.1177265053460896</v>
      </c>
      <c r="G53" s="52">
        <f t="shared" si="3"/>
        <v>0.1231872001774672</v>
      </c>
      <c r="I53" s="49">
        <v>32.6</v>
      </c>
      <c r="J53" s="49">
        <v>27</v>
      </c>
      <c r="K53" s="49">
        <v>27.8</v>
      </c>
      <c r="L53" s="49">
        <v>28</v>
      </c>
      <c r="M53" s="49">
        <v>28</v>
      </c>
      <c r="N53" s="49">
        <v>28</v>
      </c>
      <c r="O53" s="49">
        <v>28</v>
      </c>
      <c r="P53" s="49">
        <v>28</v>
      </c>
      <c r="Q53" s="49">
        <v>28</v>
      </c>
      <c r="R53" s="49">
        <v>28</v>
      </c>
      <c r="S53" s="49">
        <v>32.4</v>
      </c>
      <c r="T53" s="49">
        <v>39.6</v>
      </c>
    </row>
    <row r="54" spans="1:20" s="53" customFormat="1" ht="15.75" customHeight="1" x14ac:dyDescent="0.25">
      <c r="A54" s="50">
        <v>1960</v>
      </c>
      <c r="B54" s="50">
        <v>12</v>
      </c>
      <c r="C54" s="51">
        <f t="shared" si="0"/>
        <v>27.066666666666666</v>
      </c>
      <c r="D54" s="51">
        <f t="shared" si="1"/>
        <v>324.8</v>
      </c>
      <c r="E54" s="49">
        <v>240.42</v>
      </c>
      <c r="F54" s="49">
        <f t="shared" si="2"/>
        <v>8.8825123152709349</v>
      </c>
      <c r="G54" s="52">
        <f t="shared" si="3"/>
        <v>0.1125807614452486</v>
      </c>
      <c r="I54" s="49">
        <v>38.799999999999997</v>
      </c>
      <c r="J54" s="49">
        <v>33.299999999999997</v>
      </c>
      <c r="K54" s="49">
        <v>37</v>
      </c>
      <c r="L54" s="49">
        <v>41</v>
      </c>
      <c r="M54" s="49">
        <v>43</v>
      </c>
      <c r="N54" s="49">
        <v>43</v>
      </c>
      <c r="O54" s="49">
        <v>20.7</v>
      </c>
      <c r="P54" s="49">
        <v>0</v>
      </c>
      <c r="Q54" s="49">
        <v>0</v>
      </c>
      <c r="R54" s="49">
        <v>21.9</v>
      </c>
      <c r="S54" s="49">
        <v>33.799999999999997</v>
      </c>
      <c r="T54" s="49">
        <v>12.3</v>
      </c>
    </row>
    <row r="55" spans="1:20" s="53" customFormat="1" ht="15.75" customHeight="1" x14ac:dyDescent="0.25">
      <c r="A55" s="50">
        <v>1961</v>
      </c>
      <c r="B55" s="50">
        <v>12</v>
      </c>
      <c r="C55" s="51">
        <f t="shared" si="0"/>
        <v>19.675000000000001</v>
      </c>
      <c r="D55" s="51">
        <f t="shared" si="1"/>
        <v>236.1</v>
      </c>
      <c r="E55" s="49">
        <v>240.42</v>
      </c>
      <c r="F55" s="49">
        <f t="shared" si="2"/>
        <v>12.21956797966963</v>
      </c>
      <c r="G55" s="52">
        <f t="shared" si="3"/>
        <v>8.1835953747608353E-2</v>
      </c>
      <c r="I55" s="49">
        <v>18</v>
      </c>
      <c r="J55" s="49">
        <v>18</v>
      </c>
      <c r="K55" s="49">
        <v>18</v>
      </c>
      <c r="L55" s="49">
        <v>18</v>
      </c>
      <c r="M55" s="49">
        <v>18</v>
      </c>
      <c r="N55" s="49">
        <v>18</v>
      </c>
      <c r="O55" s="49">
        <v>18</v>
      </c>
      <c r="P55" s="49">
        <v>18</v>
      </c>
      <c r="Q55" s="49">
        <v>18</v>
      </c>
      <c r="R55" s="49">
        <v>18</v>
      </c>
      <c r="S55" s="49">
        <v>27.1</v>
      </c>
      <c r="T55" s="49">
        <v>29</v>
      </c>
    </row>
    <row r="56" spans="1:20" s="53" customFormat="1" ht="15.75" customHeight="1" x14ac:dyDescent="0.25">
      <c r="A56" s="50">
        <v>1962</v>
      </c>
      <c r="B56" s="50">
        <v>12</v>
      </c>
      <c r="C56" s="51">
        <f t="shared" si="0"/>
        <v>19.775000000000002</v>
      </c>
      <c r="D56" s="51">
        <f t="shared" si="1"/>
        <v>237.3</v>
      </c>
      <c r="E56" s="49">
        <v>240.42</v>
      </c>
      <c r="F56" s="49">
        <f t="shared" si="2"/>
        <v>12.157774968394435</v>
      </c>
      <c r="G56" s="52">
        <f t="shared" si="3"/>
        <v>8.2251892521420858E-2</v>
      </c>
      <c r="I56" s="49">
        <v>28.5</v>
      </c>
      <c r="J56" s="49">
        <v>29</v>
      </c>
      <c r="K56" s="49">
        <v>29</v>
      </c>
      <c r="L56" s="49">
        <v>29</v>
      </c>
      <c r="M56" s="49">
        <v>29</v>
      </c>
      <c r="N56" s="49">
        <v>29</v>
      </c>
      <c r="O56" s="49">
        <v>1.8</v>
      </c>
      <c r="P56" s="49">
        <v>0</v>
      </c>
      <c r="Q56" s="49">
        <v>1</v>
      </c>
      <c r="R56" s="49">
        <v>30</v>
      </c>
      <c r="S56" s="49">
        <v>16</v>
      </c>
      <c r="T56" s="49">
        <v>15</v>
      </c>
    </row>
    <row r="57" spans="1:20" s="53" customFormat="1" ht="15.75" customHeight="1" x14ac:dyDescent="0.25">
      <c r="A57" s="50">
        <v>1963</v>
      </c>
      <c r="B57" s="50">
        <v>12</v>
      </c>
      <c r="C57" s="51">
        <f t="shared" si="0"/>
        <v>15.6</v>
      </c>
      <c r="D57" s="51">
        <f t="shared" si="1"/>
        <v>187.2</v>
      </c>
      <c r="E57" s="49">
        <v>240.42</v>
      </c>
      <c r="F57" s="49">
        <f t="shared" si="2"/>
        <v>15.411538461538461</v>
      </c>
      <c r="G57" s="52">
        <f t="shared" si="3"/>
        <v>6.488644871474919E-2</v>
      </c>
      <c r="I57" s="49">
        <v>15</v>
      </c>
      <c r="J57" s="49">
        <v>15.8</v>
      </c>
      <c r="K57" s="49">
        <v>15.4</v>
      </c>
      <c r="L57" s="49">
        <v>15</v>
      </c>
      <c r="M57" s="49">
        <v>15</v>
      </c>
      <c r="N57" s="49">
        <v>15</v>
      </c>
      <c r="O57" s="49">
        <v>16.399999999999999</v>
      </c>
      <c r="P57" s="49">
        <v>15.6</v>
      </c>
      <c r="Q57" s="49">
        <v>15</v>
      </c>
      <c r="R57" s="49">
        <v>15</v>
      </c>
      <c r="S57" s="49">
        <v>17</v>
      </c>
      <c r="T57" s="49">
        <v>17</v>
      </c>
    </row>
    <row r="58" spans="1:20" s="53" customFormat="1" ht="15.75" customHeight="1" x14ac:dyDescent="0.25">
      <c r="A58" s="50">
        <v>1964</v>
      </c>
      <c r="B58" s="50">
        <v>12</v>
      </c>
      <c r="C58" s="51">
        <f t="shared" si="0"/>
        <v>12.158333333333333</v>
      </c>
      <c r="D58" s="51">
        <f t="shared" si="1"/>
        <v>145.9</v>
      </c>
      <c r="E58" s="49">
        <v>240.42</v>
      </c>
      <c r="F58" s="49">
        <f t="shared" si="2"/>
        <v>19.774091843728581</v>
      </c>
      <c r="G58" s="52">
        <f t="shared" si="3"/>
        <v>5.0571222582702496E-2</v>
      </c>
      <c r="I58" s="49">
        <v>17</v>
      </c>
      <c r="J58" s="49">
        <v>17</v>
      </c>
      <c r="K58" s="49">
        <v>17</v>
      </c>
      <c r="L58" s="49">
        <v>17</v>
      </c>
      <c r="M58" s="49">
        <v>17</v>
      </c>
      <c r="N58" s="49">
        <v>15.9</v>
      </c>
      <c r="O58" s="49">
        <v>0</v>
      </c>
      <c r="P58" s="49">
        <v>0</v>
      </c>
      <c r="Q58" s="49">
        <v>0</v>
      </c>
      <c r="R58" s="49">
        <v>15</v>
      </c>
      <c r="S58" s="49">
        <v>15</v>
      </c>
      <c r="T58" s="49">
        <v>15</v>
      </c>
    </row>
    <row r="59" spans="1:20" s="53" customFormat="1" ht="15.75" customHeight="1" x14ac:dyDescent="0.25">
      <c r="A59" s="50">
        <v>1965</v>
      </c>
      <c r="B59" s="50">
        <v>12</v>
      </c>
      <c r="C59" s="51">
        <f t="shared" si="0"/>
        <v>16.833333333333332</v>
      </c>
      <c r="D59" s="51">
        <f t="shared" si="1"/>
        <v>202</v>
      </c>
      <c r="E59" s="49">
        <v>240.42</v>
      </c>
      <c r="F59" s="49">
        <f t="shared" si="2"/>
        <v>14.282376237623764</v>
      </c>
      <c r="G59" s="52">
        <f t="shared" si="3"/>
        <v>7.0016360258436619E-2</v>
      </c>
      <c r="I59" s="49">
        <v>15</v>
      </c>
      <c r="J59" s="49">
        <v>15</v>
      </c>
      <c r="K59" s="49">
        <v>15</v>
      </c>
      <c r="L59" s="49">
        <v>15</v>
      </c>
      <c r="M59" s="49">
        <v>15</v>
      </c>
      <c r="N59" s="49">
        <v>15</v>
      </c>
      <c r="O59" s="49">
        <v>15</v>
      </c>
      <c r="P59" s="49">
        <v>15</v>
      </c>
      <c r="Q59" s="49">
        <v>15</v>
      </c>
      <c r="R59" s="49">
        <v>15</v>
      </c>
      <c r="S59" s="49">
        <v>26</v>
      </c>
      <c r="T59" s="49">
        <v>26</v>
      </c>
    </row>
    <row r="60" spans="1:20" s="53" customFormat="1" ht="15.75" customHeight="1" x14ac:dyDescent="0.25">
      <c r="A60" s="50">
        <v>1966</v>
      </c>
      <c r="B60" s="50">
        <v>12</v>
      </c>
      <c r="C60" s="51">
        <f t="shared" si="0"/>
        <v>19.283333333333335</v>
      </c>
      <c r="D60" s="51">
        <f t="shared" si="1"/>
        <v>231.4</v>
      </c>
      <c r="E60" s="49">
        <v>240.42</v>
      </c>
      <c r="F60" s="49">
        <f t="shared" si="2"/>
        <v>12.467761452031112</v>
      </c>
      <c r="G60" s="52">
        <f t="shared" si="3"/>
        <v>8.0206860216842757E-2</v>
      </c>
      <c r="I60" s="49">
        <v>26</v>
      </c>
      <c r="J60" s="49">
        <v>26</v>
      </c>
      <c r="K60" s="49">
        <v>26</v>
      </c>
      <c r="L60" s="49">
        <v>26</v>
      </c>
      <c r="M60" s="49">
        <v>26</v>
      </c>
      <c r="N60" s="49">
        <v>26</v>
      </c>
      <c r="O60" s="49">
        <v>3.4</v>
      </c>
      <c r="P60" s="49">
        <v>0</v>
      </c>
      <c r="Q60" s="49">
        <v>0</v>
      </c>
      <c r="R60" s="49">
        <v>24</v>
      </c>
      <c r="S60" s="49">
        <v>24</v>
      </c>
      <c r="T60" s="49">
        <v>24</v>
      </c>
    </row>
    <row r="61" spans="1:20" s="53" customFormat="1" ht="15.75" customHeight="1" x14ac:dyDescent="0.25">
      <c r="A61" s="50">
        <v>1967</v>
      </c>
      <c r="B61" s="50">
        <v>12</v>
      </c>
      <c r="C61" s="51">
        <f t="shared" si="0"/>
        <v>23.733333333333334</v>
      </c>
      <c r="D61" s="51">
        <f t="shared" si="1"/>
        <v>284.8</v>
      </c>
      <c r="E61" s="49">
        <v>240.42</v>
      </c>
      <c r="F61" s="49">
        <f t="shared" si="2"/>
        <v>10.130056179775281</v>
      </c>
      <c r="G61" s="52">
        <f t="shared" si="3"/>
        <v>9.8716135651498782E-2</v>
      </c>
      <c r="I61" s="49">
        <v>24</v>
      </c>
      <c r="J61" s="49">
        <v>24</v>
      </c>
      <c r="K61" s="49">
        <v>24</v>
      </c>
      <c r="L61" s="49">
        <v>24</v>
      </c>
      <c r="M61" s="49">
        <v>24</v>
      </c>
      <c r="N61" s="49">
        <v>24</v>
      </c>
      <c r="O61" s="49">
        <v>24</v>
      </c>
      <c r="P61" s="49">
        <v>24</v>
      </c>
      <c r="Q61" s="49">
        <v>23.6</v>
      </c>
      <c r="R61" s="49">
        <v>23</v>
      </c>
      <c r="S61" s="49">
        <v>23</v>
      </c>
      <c r="T61" s="49">
        <v>23.2</v>
      </c>
    </row>
    <row r="62" spans="1:20" s="53" customFormat="1" ht="15.75" customHeight="1" x14ac:dyDescent="0.25">
      <c r="A62" s="50">
        <v>1968</v>
      </c>
      <c r="B62" s="50">
        <v>12</v>
      </c>
      <c r="C62" s="51">
        <f t="shared" si="0"/>
        <v>18.466666666666665</v>
      </c>
      <c r="D62" s="51">
        <f t="shared" si="1"/>
        <v>221.59999999999997</v>
      </c>
      <c r="E62" s="49">
        <v>240.42</v>
      </c>
      <c r="F62" s="49">
        <f t="shared" si="2"/>
        <v>13.01913357400722</v>
      </c>
      <c r="G62" s="52">
        <f t="shared" si="3"/>
        <v>7.681002689737404E-2</v>
      </c>
      <c r="I62" s="49">
        <v>26</v>
      </c>
      <c r="J62" s="49">
        <v>26</v>
      </c>
      <c r="K62" s="49">
        <v>26</v>
      </c>
      <c r="L62" s="49">
        <v>26</v>
      </c>
      <c r="M62" s="49">
        <v>26</v>
      </c>
      <c r="N62" s="49">
        <v>26</v>
      </c>
      <c r="O62" s="49">
        <v>0</v>
      </c>
      <c r="P62" s="49">
        <v>0</v>
      </c>
      <c r="Q62" s="49">
        <v>1.7</v>
      </c>
      <c r="R62" s="49">
        <v>26</v>
      </c>
      <c r="S62" s="49">
        <v>12.7</v>
      </c>
      <c r="T62" s="49">
        <v>25.2</v>
      </c>
    </row>
    <row r="63" spans="1:20" s="53" customFormat="1" ht="15.75" customHeight="1" x14ac:dyDescent="0.25">
      <c r="A63" s="50">
        <v>1969</v>
      </c>
      <c r="B63" s="50">
        <v>12</v>
      </c>
      <c r="C63" s="51">
        <f t="shared" si="0"/>
        <v>20.666666666666668</v>
      </c>
      <c r="D63" s="51">
        <f t="shared" si="1"/>
        <v>248</v>
      </c>
      <c r="E63" s="49">
        <v>240.42</v>
      </c>
      <c r="F63" s="49">
        <f t="shared" si="2"/>
        <v>11.633225806451611</v>
      </c>
      <c r="G63" s="52">
        <f t="shared" si="3"/>
        <v>8.5960679921248936E-2</v>
      </c>
      <c r="I63" s="49">
        <v>21</v>
      </c>
      <c r="J63" s="49">
        <v>21</v>
      </c>
      <c r="K63" s="49">
        <v>21</v>
      </c>
      <c r="L63" s="49">
        <v>21</v>
      </c>
      <c r="M63" s="49">
        <v>21</v>
      </c>
      <c r="N63" s="49">
        <v>21</v>
      </c>
      <c r="O63" s="49">
        <v>21</v>
      </c>
      <c r="P63" s="49">
        <v>21</v>
      </c>
      <c r="Q63" s="49">
        <v>21</v>
      </c>
      <c r="R63" s="49">
        <v>19</v>
      </c>
      <c r="S63" s="49">
        <v>19</v>
      </c>
      <c r="T63" s="49">
        <v>21</v>
      </c>
    </row>
    <row r="64" spans="1:20" s="53" customFormat="1" ht="15.75" customHeight="1" x14ac:dyDescent="0.25">
      <c r="A64" s="50">
        <v>1970</v>
      </c>
      <c r="B64" s="50">
        <v>12</v>
      </c>
      <c r="C64" s="51">
        <f t="shared" si="0"/>
        <v>16.733333333333331</v>
      </c>
      <c r="D64" s="51">
        <f t="shared" si="1"/>
        <v>200.79999999999998</v>
      </c>
      <c r="E64" s="49">
        <v>240.42</v>
      </c>
      <c r="F64" s="49">
        <f t="shared" si="2"/>
        <v>14.36772908366534</v>
      </c>
      <c r="G64" s="52">
        <f t="shared" si="3"/>
        <v>6.9600421484624128E-2</v>
      </c>
      <c r="I64" s="49">
        <v>21</v>
      </c>
      <c r="J64" s="49">
        <v>21</v>
      </c>
      <c r="K64" s="49">
        <v>21</v>
      </c>
      <c r="L64" s="49">
        <v>21</v>
      </c>
      <c r="M64" s="49">
        <v>21</v>
      </c>
      <c r="N64" s="49">
        <v>21</v>
      </c>
      <c r="O64" s="49">
        <v>2.7</v>
      </c>
      <c r="P64" s="49">
        <v>0</v>
      </c>
      <c r="Q64" s="49">
        <v>0.7</v>
      </c>
      <c r="R64" s="49">
        <v>21.4</v>
      </c>
      <c r="S64" s="49">
        <v>25</v>
      </c>
      <c r="T64" s="49">
        <v>25</v>
      </c>
    </row>
    <row r="65" spans="1:20" s="53" customFormat="1" ht="15.75" customHeight="1" x14ac:dyDescent="0.25">
      <c r="A65" s="50">
        <v>1971</v>
      </c>
      <c r="B65" s="50">
        <v>12</v>
      </c>
      <c r="C65" s="51">
        <f t="shared" si="0"/>
        <v>25</v>
      </c>
      <c r="D65" s="51">
        <f t="shared" si="1"/>
        <v>300</v>
      </c>
      <c r="E65" s="49">
        <v>240.42</v>
      </c>
      <c r="F65" s="49">
        <f t="shared" si="2"/>
        <v>9.6167999999999996</v>
      </c>
      <c r="G65" s="52">
        <f t="shared" si="3"/>
        <v>0.10398469345312371</v>
      </c>
      <c r="I65" s="49">
        <v>25</v>
      </c>
      <c r="J65" s="49">
        <v>25</v>
      </c>
      <c r="K65" s="49">
        <v>25</v>
      </c>
      <c r="L65" s="49">
        <v>25</v>
      </c>
      <c r="M65" s="49">
        <v>25</v>
      </c>
      <c r="N65" s="49">
        <v>25</v>
      </c>
      <c r="O65" s="49">
        <v>25</v>
      </c>
      <c r="P65" s="49">
        <v>25</v>
      </c>
      <c r="Q65" s="49">
        <v>25</v>
      </c>
      <c r="R65" s="49">
        <v>25</v>
      </c>
      <c r="S65" s="49">
        <v>25</v>
      </c>
      <c r="T65" s="49">
        <v>25</v>
      </c>
    </row>
    <row r="66" spans="1:20" s="53" customFormat="1" ht="15.75" customHeight="1" x14ac:dyDescent="0.25">
      <c r="A66" s="50">
        <v>1972</v>
      </c>
      <c r="B66" s="50">
        <v>12</v>
      </c>
      <c r="C66" s="51">
        <f t="shared" si="0"/>
        <v>17.074999999999999</v>
      </c>
      <c r="D66" s="51">
        <f t="shared" si="1"/>
        <v>204.9</v>
      </c>
      <c r="E66" s="49">
        <v>240.42</v>
      </c>
      <c r="F66" s="49">
        <f t="shared" si="2"/>
        <v>14.080234260614933</v>
      </c>
      <c r="G66" s="52">
        <f t="shared" si="3"/>
        <v>7.1021545628483493E-2</v>
      </c>
      <c r="I66" s="49">
        <v>26.1</v>
      </c>
      <c r="J66" s="49">
        <v>27</v>
      </c>
      <c r="K66" s="49">
        <v>26.8</v>
      </c>
      <c r="L66" s="49">
        <v>25</v>
      </c>
      <c r="M66" s="49">
        <v>25</v>
      </c>
      <c r="N66" s="49">
        <v>25</v>
      </c>
      <c r="O66" s="49">
        <v>0</v>
      </c>
      <c r="P66" s="49">
        <v>0</v>
      </c>
      <c r="Q66" s="49">
        <v>0</v>
      </c>
      <c r="R66" s="49">
        <v>0</v>
      </c>
      <c r="S66" s="49">
        <v>25</v>
      </c>
      <c r="T66" s="49">
        <v>25</v>
      </c>
    </row>
    <row r="67" spans="1:20" s="53" customFormat="1" ht="15.75" customHeight="1" x14ac:dyDescent="0.25">
      <c r="A67" s="50">
        <v>1973</v>
      </c>
      <c r="B67" s="50">
        <v>12</v>
      </c>
      <c r="C67" s="51">
        <f t="shared" si="0"/>
        <v>23.5</v>
      </c>
      <c r="D67" s="51">
        <f t="shared" si="1"/>
        <v>282</v>
      </c>
      <c r="E67" s="49">
        <v>240.42</v>
      </c>
      <c r="F67" s="49">
        <f t="shared" si="2"/>
        <v>10.230638297872339</v>
      </c>
      <c r="G67" s="52">
        <f t="shared" si="3"/>
        <v>9.7745611845936289E-2</v>
      </c>
      <c r="I67" s="49">
        <v>25</v>
      </c>
      <c r="J67" s="49">
        <v>25</v>
      </c>
      <c r="K67" s="49">
        <v>25</v>
      </c>
      <c r="L67" s="49">
        <v>25</v>
      </c>
      <c r="M67" s="49">
        <v>25</v>
      </c>
      <c r="N67" s="49">
        <v>25</v>
      </c>
      <c r="O67" s="49">
        <v>25</v>
      </c>
      <c r="P67" s="49">
        <v>25</v>
      </c>
      <c r="Q67" s="49">
        <v>25</v>
      </c>
      <c r="R67" s="49">
        <v>25</v>
      </c>
      <c r="S67" s="49">
        <v>16</v>
      </c>
      <c r="T67" s="49">
        <v>16</v>
      </c>
    </row>
    <row r="68" spans="1:20" s="53" customFormat="1" ht="15.75" customHeight="1" x14ac:dyDescent="0.25">
      <c r="A68" s="50">
        <v>1974</v>
      </c>
      <c r="B68" s="50">
        <v>12</v>
      </c>
      <c r="C68" s="51">
        <f t="shared" ref="C68:C104" si="4">D68/B68</f>
        <v>16.341666666666665</v>
      </c>
      <c r="D68" s="51">
        <f t="shared" ref="D68:D104" si="5">SUM(I68:T68)</f>
        <v>196.1</v>
      </c>
      <c r="E68" s="49">
        <v>240.42</v>
      </c>
      <c r="F68" s="49">
        <f t="shared" ref="F68:F104" si="6">E68/C68</f>
        <v>14.712085670576238</v>
      </c>
      <c r="G68" s="52">
        <f t="shared" ref="G68:G104" si="7">C68/E68</f>
        <v>6.7971327953858518E-2</v>
      </c>
      <c r="I68" s="49">
        <v>16</v>
      </c>
      <c r="J68" s="49">
        <v>16</v>
      </c>
      <c r="K68" s="49">
        <v>16</v>
      </c>
      <c r="L68" s="49">
        <v>16</v>
      </c>
      <c r="M68" s="49">
        <v>16</v>
      </c>
      <c r="N68" s="49">
        <v>16</v>
      </c>
      <c r="O68" s="49">
        <v>16</v>
      </c>
      <c r="P68" s="49">
        <v>16</v>
      </c>
      <c r="Q68" s="49">
        <v>16</v>
      </c>
      <c r="R68" s="49">
        <v>16</v>
      </c>
      <c r="S68" s="49">
        <v>16.100000000000001</v>
      </c>
      <c r="T68" s="49">
        <v>20</v>
      </c>
    </row>
    <row r="69" spans="1:20" s="53" customFormat="1" ht="15.75" customHeight="1" x14ac:dyDescent="0.25">
      <c r="A69" s="50">
        <v>1975</v>
      </c>
      <c r="B69" s="50">
        <v>12</v>
      </c>
      <c r="C69" s="51">
        <f t="shared" si="4"/>
        <v>19.633333333333333</v>
      </c>
      <c r="D69" s="51">
        <f t="shared" si="5"/>
        <v>235.6</v>
      </c>
      <c r="E69" s="49">
        <v>240.42</v>
      </c>
      <c r="F69" s="49">
        <f t="shared" si="6"/>
        <v>12.245500848896434</v>
      </c>
      <c r="G69" s="52">
        <f t="shared" si="7"/>
        <v>8.1662645925186475E-2</v>
      </c>
      <c r="I69" s="49">
        <v>20</v>
      </c>
      <c r="J69" s="49">
        <v>20</v>
      </c>
      <c r="K69" s="49">
        <v>20</v>
      </c>
      <c r="L69" s="49">
        <v>20</v>
      </c>
      <c r="M69" s="49">
        <v>20</v>
      </c>
      <c r="N69" s="49">
        <v>19.2</v>
      </c>
      <c r="O69" s="49">
        <v>19</v>
      </c>
      <c r="P69" s="49">
        <v>19</v>
      </c>
      <c r="Q69" s="49">
        <v>19</v>
      </c>
      <c r="R69" s="49">
        <v>19</v>
      </c>
      <c r="S69" s="49">
        <v>20.399999999999999</v>
      </c>
      <c r="T69" s="49">
        <v>20</v>
      </c>
    </row>
    <row r="70" spans="1:20" s="53" customFormat="1" ht="15.75" customHeight="1" x14ac:dyDescent="0.25">
      <c r="A70" s="50">
        <v>1976</v>
      </c>
      <c r="B70" s="50">
        <v>12</v>
      </c>
      <c r="C70" s="51">
        <f t="shared" si="4"/>
        <v>9.25</v>
      </c>
      <c r="D70" s="51">
        <f t="shared" si="5"/>
        <v>111</v>
      </c>
      <c r="E70" s="49">
        <v>240.42</v>
      </c>
      <c r="F70" s="49">
        <f t="shared" si="6"/>
        <v>25.991351351351351</v>
      </c>
      <c r="G70" s="52">
        <f t="shared" si="7"/>
        <v>3.8474336577655768E-2</v>
      </c>
      <c r="I70" s="49">
        <v>20</v>
      </c>
      <c r="J70" s="49">
        <v>19</v>
      </c>
      <c r="K70" s="49">
        <v>18</v>
      </c>
      <c r="L70" s="49">
        <v>18</v>
      </c>
      <c r="M70" s="49">
        <v>18</v>
      </c>
      <c r="N70" s="49">
        <v>18</v>
      </c>
      <c r="O70" s="49"/>
      <c r="P70" s="49"/>
      <c r="Q70" s="49"/>
      <c r="R70" s="49"/>
      <c r="S70" s="49"/>
      <c r="T70" s="49"/>
    </row>
    <row r="71" spans="1:20" s="53" customFormat="1" ht="15.75" customHeight="1" x14ac:dyDescent="0.25">
      <c r="A71" s="50">
        <v>1977</v>
      </c>
      <c r="B71" s="50"/>
      <c r="C71" s="51"/>
      <c r="D71" s="51"/>
      <c r="E71" s="49">
        <v>240.42</v>
      </c>
      <c r="F71" s="49"/>
      <c r="G71" s="52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</row>
    <row r="72" spans="1:20" s="53" customFormat="1" ht="15.75" customHeight="1" x14ac:dyDescent="0.25">
      <c r="A72" s="50">
        <v>1978</v>
      </c>
      <c r="B72" s="50"/>
      <c r="C72" s="51"/>
      <c r="D72" s="51"/>
      <c r="E72" s="49">
        <v>240.42</v>
      </c>
      <c r="F72" s="49"/>
      <c r="G72" s="52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</row>
    <row r="73" spans="1:20" s="53" customFormat="1" ht="15.75" customHeight="1" x14ac:dyDescent="0.25">
      <c r="A73" s="50">
        <v>1979</v>
      </c>
      <c r="B73" s="50"/>
      <c r="C73" s="51"/>
      <c r="D73" s="51"/>
      <c r="E73" s="49">
        <v>240.42</v>
      </c>
      <c r="F73" s="49"/>
      <c r="G73" s="52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</row>
    <row r="74" spans="1:20" s="53" customFormat="1" ht="15.75" customHeight="1" x14ac:dyDescent="0.25">
      <c r="A74" s="50">
        <v>1980</v>
      </c>
      <c r="B74" s="50"/>
      <c r="C74" s="51"/>
      <c r="D74" s="51"/>
      <c r="E74" s="49">
        <v>240.42</v>
      </c>
      <c r="F74" s="49"/>
      <c r="G74" s="52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</row>
    <row r="75" spans="1:20" s="53" customFormat="1" ht="15.75" customHeight="1" x14ac:dyDescent="0.25">
      <c r="A75" s="50">
        <v>1981</v>
      </c>
      <c r="B75" s="50"/>
      <c r="C75" s="51"/>
      <c r="D75" s="51"/>
      <c r="E75" s="49">
        <v>240.42</v>
      </c>
      <c r="F75" s="49"/>
      <c r="G75" s="52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</row>
    <row r="76" spans="1:20" s="53" customFormat="1" ht="15.75" customHeight="1" x14ac:dyDescent="0.25">
      <c r="A76" s="50">
        <v>1982</v>
      </c>
      <c r="B76" s="50"/>
      <c r="C76" s="51"/>
      <c r="D76" s="51"/>
      <c r="E76" s="49">
        <v>240.42</v>
      </c>
      <c r="F76" s="49"/>
      <c r="G76" s="52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</row>
    <row r="77" spans="1:20" s="53" customFormat="1" ht="15.75" customHeight="1" x14ac:dyDescent="0.25">
      <c r="A77" s="50">
        <v>1983</v>
      </c>
      <c r="B77" s="50">
        <v>12</v>
      </c>
      <c r="C77" s="51">
        <f t="shared" si="4"/>
        <v>3.4166666666666665</v>
      </c>
      <c r="D77" s="51">
        <f t="shared" si="5"/>
        <v>41</v>
      </c>
      <c r="E77" s="49">
        <v>240.42</v>
      </c>
      <c r="F77" s="49">
        <f t="shared" si="6"/>
        <v>70.366829268292676</v>
      </c>
      <c r="G77" s="52">
        <f t="shared" si="7"/>
        <v>1.4211241438593572E-2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>
        <v>20.5</v>
      </c>
      <c r="T77" s="49">
        <v>20.5</v>
      </c>
    </row>
    <row r="78" spans="1:20" s="53" customFormat="1" ht="15.75" customHeight="1" x14ac:dyDescent="0.25">
      <c r="A78" s="50">
        <v>1984</v>
      </c>
      <c r="B78" s="50">
        <v>12</v>
      </c>
      <c r="C78" s="51">
        <f t="shared" si="4"/>
        <v>20.5</v>
      </c>
      <c r="D78" s="51">
        <f t="shared" si="5"/>
        <v>246</v>
      </c>
      <c r="E78" s="49">
        <v>240.42</v>
      </c>
      <c r="F78" s="49">
        <f t="shared" si="6"/>
        <v>11.727804878048779</v>
      </c>
      <c r="G78" s="52">
        <f t="shared" si="7"/>
        <v>8.5267448631561438E-2</v>
      </c>
      <c r="I78" s="49">
        <v>20.5</v>
      </c>
      <c r="J78" s="49">
        <v>20.5</v>
      </c>
      <c r="K78" s="49">
        <v>20.5</v>
      </c>
      <c r="L78" s="49">
        <v>20.5</v>
      </c>
      <c r="M78" s="49">
        <v>20.5</v>
      </c>
      <c r="N78" s="49">
        <v>20.5</v>
      </c>
      <c r="O78" s="49">
        <v>20.5</v>
      </c>
      <c r="P78" s="49">
        <v>20.5</v>
      </c>
      <c r="Q78" s="49">
        <v>20.5</v>
      </c>
      <c r="R78" s="49">
        <v>20.5</v>
      </c>
      <c r="S78" s="49">
        <v>20.5</v>
      </c>
      <c r="T78" s="49">
        <v>20.5</v>
      </c>
    </row>
    <row r="79" spans="1:20" s="53" customFormat="1" ht="15.75" customHeight="1" x14ac:dyDescent="0.25">
      <c r="A79" s="50">
        <v>1985</v>
      </c>
      <c r="B79" s="50">
        <v>12</v>
      </c>
      <c r="C79" s="51">
        <f t="shared" si="4"/>
        <v>20.5</v>
      </c>
      <c r="D79" s="51">
        <f t="shared" si="5"/>
        <v>246</v>
      </c>
      <c r="E79" s="49">
        <v>240.42</v>
      </c>
      <c r="F79" s="49">
        <f t="shared" si="6"/>
        <v>11.727804878048779</v>
      </c>
      <c r="G79" s="52">
        <f t="shared" si="7"/>
        <v>8.5267448631561438E-2</v>
      </c>
      <c r="I79" s="49">
        <v>20.5</v>
      </c>
      <c r="J79" s="49">
        <v>20.5</v>
      </c>
      <c r="K79" s="49">
        <v>20.5</v>
      </c>
      <c r="L79" s="49">
        <v>20.5</v>
      </c>
      <c r="M79" s="49">
        <v>20.5</v>
      </c>
      <c r="N79" s="49">
        <v>20.5</v>
      </c>
      <c r="O79" s="49">
        <v>20.5</v>
      </c>
      <c r="P79" s="49">
        <v>20.5</v>
      </c>
      <c r="Q79" s="49">
        <v>20.5</v>
      </c>
      <c r="R79" s="49">
        <v>20.5</v>
      </c>
      <c r="S79" s="49">
        <v>20.5</v>
      </c>
      <c r="T79" s="49">
        <v>20.5</v>
      </c>
    </row>
    <row r="80" spans="1:20" s="53" customFormat="1" ht="15.75" customHeight="1" x14ac:dyDescent="0.25">
      <c r="A80" s="50">
        <v>1986</v>
      </c>
      <c r="B80" s="50">
        <v>12</v>
      </c>
      <c r="C80" s="51">
        <f t="shared" si="4"/>
        <v>20.5</v>
      </c>
      <c r="D80" s="51">
        <f t="shared" si="5"/>
        <v>246</v>
      </c>
      <c r="E80" s="49">
        <v>240.42</v>
      </c>
      <c r="F80" s="49">
        <f t="shared" si="6"/>
        <v>11.727804878048779</v>
      </c>
      <c r="G80" s="52">
        <f t="shared" si="7"/>
        <v>8.5267448631561438E-2</v>
      </c>
      <c r="I80" s="49">
        <v>20.5</v>
      </c>
      <c r="J80" s="49">
        <v>20.5</v>
      </c>
      <c r="K80" s="49">
        <v>20.5</v>
      </c>
      <c r="L80" s="49">
        <v>20.5</v>
      </c>
      <c r="M80" s="49">
        <v>20.5</v>
      </c>
      <c r="N80" s="49">
        <v>20.5</v>
      </c>
      <c r="O80" s="49">
        <v>20.5</v>
      </c>
      <c r="P80" s="49">
        <v>20.5</v>
      </c>
      <c r="Q80" s="49">
        <v>20.5</v>
      </c>
      <c r="R80" s="49">
        <v>20.5</v>
      </c>
      <c r="S80" s="49">
        <v>20.5</v>
      </c>
      <c r="T80" s="49">
        <v>20.5</v>
      </c>
    </row>
    <row r="81" spans="1:20" s="53" customFormat="1" ht="15.75" customHeight="1" x14ac:dyDescent="0.25">
      <c r="A81" s="50">
        <v>1987</v>
      </c>
      <c r="B81" s="50">
        <v>12</v>
      </c>
      <c r="C81" s="51">
        <f t="shared" si="4"/>
        <v>20.5</v>
      </c>
      <c r="D81" s="51">
        <f t="shared" si="5"/>
        <v>246</v>
      </c>
      <c r="E81" s="49">
        <v>240.42</v>
      </c>
      <c r="F81" s="49">
        <f t="shared" si="6"/>
        <v>11.727804878048779</v>
      </c>
      <c r="G81" s="52">
        <f t="shared" si="7"/>
        <v>8.5267448631561438E-2</v>
      </c>
      <c r="I81" s="49">
        <v>20.5</v>
      </c>
      <c r="J81" s="49">
        <v>20.5</v>
      </c>
      <c r="K81" s="49">
        <v>20.5</v>
      </c>
      <c r="L81" s="49">
        <v>20.5</v>
      </c>
      <c r="M81" s="49">
        <v>20.5</v>
      </c>
      <c r="N81" s="49">
        <v>20.5</v>
      </c>
      <c r="O81" s="49">
        <v>20.5</v>
      </c>
      <c r="P81" s="49">
        <v>20.5</v>
      </c>
      <c r="Q81" s="49">
        <v>20.5</v>
      </c>
      <c r="R81" s="49">
        <v>20.5</v>
      </c>
      <c r="S81" s="49">
        <v>20.5</v>
      </c>
      <c r="T81" s="49">
        <v>20.5</v>
      </c>
    </row>
    <row r="82" spans="1:20" s="53" customFormat="1" ht="15.75" customHeight="1" x14ac:dyDescent="0.25">
      <c r="A82" s="50">
        <v>1988</v>
      </c>
      <c r="B82" s="50">
        <v>12</v>
      </c>
      <c r="C82" s="51">
        <f t="shared" si="4"/>
        <v>17.25</v>
      </c>
      <c r="D82" s="51">
        <f t="shared" si="5"/>
        <v>207</v>
      </c>
      <c r="E82" s="49">
        <v>240.42</v>
      </c>
      <c r="F82" s="49">
        <f t="shared" si="6"/>
        <v>13.937391304347825</v>
      </c>
      <c r="G82" s="52">
        <f t="shared" si="7"/>
        <v>7.1749438482655359E-2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69</v>
      </c>
      <c r="R82" s="49">
        <v>138</v>
      </c>
      <c r="S82" s="49">
        <v>0</v>
      </c>
      <c r="T82" s="49">
        <v>0</v>
      </c>
    </row>
    <row r="83" spans="1:20" s="53" customFormat="1" ht="15.75" customHeight="1" x14ac:dyDescent="0.25">
      <c r="A83" s="50">
        <v>1989</v>
      </c>
      <c r="B83" s="50">
        <v>12</v>
      </c>
      <c r="C83" s="51">
        <f t="shared" si="4"/>
        <v>23</v>
      </c>
      <c r="D83" s="51">
        <f t="shared" si="5"/>
        <v>276</v>
      </c>
      <c r="E83" s="49">
        <v>240.42</v>
      </c>
      <c r="F83" s="49">
        <f t="shared" si="6"/>
        <v>10.453043478260868</v>
      </c>
      <c r="G83" s="52">
        <f t="shared" si="7"/>
        <v>9.5665917976873807E-2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138</v>
      </c>
      <c r="R83" s="49">
        <v>138</v>
      </c>
      <c r="S83" s="49">
        <v>0</v>
      </c>
      <c r="T83" s="49">
        <v>0</v>
      </c>
    </row>
    <row r="84" spans="1:20" s="53" customFormat="1" ht="15.75" customHeight="1" x14ac:dyDescent="0.25">
      <c r="A84" s="50">
        <v>1990</v>
      </c>
      <c r="B84" s="50">
        <v>12</v>
      </c>
      <c r="C84" s="51">
        <f t="shared" si="4"/>
        <v>0</v>
      </c>
      <c r="D84" s="51">
        <f t="shared" si="5"/>
        <v>0</v>
      </c>
      <c r="E84" s="49">
        <v>240.42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1991</v>
      </c>
      <c r="B85" s="50">
        <v>12</v>
      </c>
      <c r="C85" s="51">
        <f t="shared" si="4"/>
        <v>19</v>
      </c>
      <c r="D85" s="51">
        <f t="shared" si="5"/>
        <v>228</v>
      </c>
      <c r="E85" s="49">
        <v>240.42</v>
      </c>
      <c r="F85" s="49">
        <f t="shared" si="6"/>
        <v>12.653684210526315</v>
      </c>
      <c r="G85" s="52">
        <f t="shared" si="7"/>
        <v>7.9028367024374019E-2</v>
      </c>
      <c r="I85" s="49">
        <v>0</v>
      </c>
      <c r="J85" s="49">
        <v>0</v>
      </c>
      <c r="K85" s="49">
        <v>0</v>
      </c>
      <c r="L85" s="49">
        <v>57</v>
      </c>
      <c r="M85" s="49">
        <v>114</v>
      </c>
      <c r="N85" s="49">
        <v>57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1992</v>
      </c>
      <c r="B86" s="50">
        <v>12</v>
      </c>
      <c r="C86" s="51">
        <f t="shared" si="4"/>
        <v>23</v>
      </c>
      <c r="D86" s="51">
        <f t="shared" si="5"/>
        <v>276</v>
      </c>
      <c r="E86" s="49">
        <v>240.42</v>
      </c>
      <c r="F86" s="49">
        <f t="shared" si="6"/>
        <v>10.453043478260868</v>
      </c>
      <c r="G86" s="52">
        <f t="shared" si="7"/>
        <v>9.5665917976873807E-2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138</v>
      </c>
      <c r="P86" s="49">
        <v>138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1993</v>
      </c>
      <c r="B87" s="50">
        <v>12</v>
      </c>
      <c r="C87" s="51">
        <f t="shared" si="4"/>
        <v>23</v>
      </c>
      <c r="D87" s="51">
        <f t="shared" si="5"/>
        <v>276</v>
      </c>
      <c r="E87" s="49">
        <v>240.42</v>
      </c>
      <c r="F87" s="49">
        <f t="shared" si="6"/>
        <v>10.453043478260868</v>
      </c>
      <c r="G87" s="52">
        <f t="shared" si="7"/>
        <v>9.5665917976873807E-2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138</v>
      </c>
      <c r="R87" s="49">
        <v>138</v>
      </c>
      <c r="S87" s="49">
        <v>0</v>
      </c>
      <c r="T87" s="49">
        <v>0</v>
      </c>
    </row>
    <row r="88" spans="1:20" s="53" customFormat="1" ht="15.75" customHeight="1" x14ac:dyDescent="0.25">
      <c r="A88" s="50">
        <v>1994</v>
      </c>
      <c r="B88" s="50">
        <v>12</v>
      </c>
      <c r="C88" s="51">
        <f t="shared" si="4"/>
        <v>0</v>
      </c>
      <c r="D88" s="51">
        <f t="shared" si="5"/>
        <v>0</v>
      </c>
      <c r="E88" s="49">
        <v>240.42</v>
      </c>
      <c r="F88" s="49" t="e">
        <f t="shared" si="6"/>
        <v>#DIV/0!</v>
      </c>
      <c r="G88" s="52">
        <f t="shared" si="7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1995</v>
      </c>
      <c r="B89" s="50">
        <v>12</v>
      </c>
      <c r="C89" s="51">
        <f t="shared" si="4"/>
        <v>24.258333333333336</v>
      </c>
      <c r="D89" s="51">
        <f t="shared" si="5"/>
        <v>291.10000000000002</v>
      </c>
      <c r="E89" s="49">
        <v>240.42</v>
      </c>
      <c r="F89" s="49">
        <f t="shared" si="6"/>
        <v>9.9108210237031926</v>
      </c>
      <c r="G89" s="52">
        <f t="shared" si="7"/>
        <v>0.10089981421401438</v>
      </c>
      <c r="I89" s="49">
        <v>0</v>
      </c>
      <c r="J89" s="49">
        <v>0</v>
      </c>
      <c r="K89" s="49">
        <v>0</v>
      </c>
      <c r="L89" s="49">
        <v>72.8</v>
      </c>
      <c r="M89" s="49">
        <v>145.5</v>
      </c>
      <c r="N89" s="49">
        <v>72.8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1996</v>
      </c>
      <c r="B90" s="50">
        <v>12</v>
      </c>
      <c r="C90" s="51">
        <f t="shared" si="4"/>
        <v>23</v>
      </c>
      <c r="D90" s="51">
        <f t="shared" si="5"/>
        <v>276</v>
      </c>
      <c r="E90" s="49">
        <v>240.42</v>
      </c>
      <c r="F90" s="49">
        <f t="shared" si="6"/>
        <v>10.453043478260868</v>
      </c>
      <c r="G90" s="52">
        <f t="shared" si="7"/>
        <v>9.5665917976873807E-2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138</v>
      </c>
      <c r="P90" s="49">
        <v>138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1997</v>
      </c>
      <c r="B91" s="50">
        <v>12</v>
      </c>
      <c r="C91" s="51">
        <f t="shared" si="4"/>
        <v>23</v>
      </c>
      <c r="D91" s="51">
        <f t="shared" si="5"/>
        <v>276</v>
      </c>
      <c r="E91" s="49">
        <v>240.42</v>
      </c>
      <c r="F91" s="49">
        <f t="shared" si="6"/>
        <v>10.453043478260868</v>
      </c>
      <c r="G91" s="52">
        <f t="shared" si="7"/>
        <v>9.5665917976873807E-2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138</v>
      </c>
      <c r="R91" s="49">
        <v>138</v>
      </c>
      <c r="S91" s="49">
        <v>0</v>
      </c>
      <c r="T91" s="49">
        <v>0</v>
      </c>
    </row>
    <row r="92" spans="1:20" s="53" customFormat="1" ht="15.75" customHeight="1" x14ac:dyDescent="0.25">
      <c r="A92" s="50">
        <v>1998</v>
      </c>
      <c r="B92" s="50">
        <v>12</v>
      </c>
      <c r="C92" s="51">
        <f t="shared" si="4"/>
        <v>0</v>
      </c>
      <c r="D92" s="51">
        <f t="shared" si="5"/>
        <v>0</v>
      </c>
      <c r="E92" s="49">
        <v>240.42</v>
      </c>
      <c r="F92" s="49" t="e">
        <f t="shared" si="6"/>
        <v>#DIV/0!</v>
      </c>
      <c r="G92" s="52">
        <f t="shared" si="7"/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1999</v>
      </c>
      <c r="B93" s="50">
        <v>12</v>
      </c>
      <c r="C93" s="51">
        <f t="shared" si="4"/>
        <v>24.258333333333336</v>
      </c>
      <c r="D93" s="51">
        <f t="shared" si="5"/>
        <v>291.10000000000002</v>
      </c>
      <c r="E93" s="49">
        <v>240.42</v>
      </c>
      <c r="F93" s="49">
        <f t="shared" si="6"/>
        <v>9.9108210237031926</v>
      </c>
      <c r="G93" s="52">
        <f t="shared" si="7"/>
        <v>0.10089981421401438</v>
      </c>
      <c r="I93" s="49">
        <v>0</v>
      </c>
      <c r="J93" s="49">
        <v>0</v>
      </c>
      <c r="K93" s="49">
        <v>0</v>
      </c>
      <c r="L93" s="49">
        <v>72.8</v>
      </c>
      <c r="M93" s="49">
        <v>145.5</v>
      </c>
      <c r="N93" s="49">
        <v>72.8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2000</v>
      </c>
      <c r="B94" s="50">
        <v>12</v>
      </c>
      <c r="C94" s="51">
        <f t="shared" si="4"/>
        <v>23</v>
      </c>
      <c r="D94" s="51">
        <f t="shared" si="5"/>
        <v>276</v>
      </c>
      <c r="E94" s="49">
        <v>240.42</v>
      </c>
      <c r="F94" s="49">
        <f t="shared" si="6"/>
        <v>10.453043478260868</v>
      </c>
      <c r="G94" s="52">
        <f t="shared" si="7"/>
        <v>9.5665917976873807E-2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138</v>
      </c>
      <c r="O94" s="49">
        <v>138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2001</v>
      </c>
      <c r="B95" s="50">
        <v>12</v>
      </c>
      <c r="C95" s="51">
        <f t="shared" si="4"/>
        <v>21.25</v>
      </c>
      <c r="D95" s="51">
        <f t="shared" si="5"/>
        <v>255</v>
      </c>
      <c r="E95" s="49">
        <v>240.42</v>
      </c>
      <c r="F95" s="49">
        <f t="shared" si="6"/>
        <v>11.313882352941176</v>
      </c>
      <c r="G95" s="52">
        <f t="shared" si="7"/>
        <v>8.8386989435155147E-2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85</v>
      </c>
      <c r="Q95" s="49">
        <v>85</v>
      </c>
      <c r="R95" s="49">
        <v>85</v>
      </c>
      <c r="S95" s="49">
        <v>0</v>
      </c>
      <c r="T95" s="49">
        <v>0</v>
      </c>
    </row>
    <row r="96" spans="1:20" s="53" customFormat="1" ht="15.75" customHeight="1" x14ac:dyDescent="0.25">
      <c r="A96" s="50">
        <v>2002</v>
      </c>
      <c r="B96" s="50">
        <v>12</v>
      </c>
      <c r="C96" s="51">
        <f t="shared" si="4"/>
        <v>21.25</v>
      </c>
      <c r="D96" s="51">
        <f t="shared" si="5"/>
        <v>255</v>
      </c>
      <c r="E96" s="49">
        <v>240.42</v>
      </c>
      <c r="F96" s="49">
        <f t="shared" si="6"/>
        <v>11.313882352941176</v>
      </c>
      <c r="G96" s="52">
        <f t="shared" si="7"/>
        <v>8.8386989435155147E-2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85</v>
      </c>
      <c r="Q96" s="49">
        <v>85</v>
      </c>
      <c r="R96" s="49">
        <v>85</v>
      </c>
      <c r="S96" s="49">
        <v>0</v>
      </c>
      <c r="T96" s="49">
        <v>0</v>
      </c>
    </row>
    <row r="97" spans="1:20" s="53" customFormat="1" ht="15.75" customHeight="1" x14ac:dyDescent="0.25">
      <c r="A97" s="50">
        <v>2003</v>
      </c>
      <c r="B97" s="50">
        <v>12</v>
      </c>
      <c r="C97" s="51">
        <f t="shared" si="4"/>
        <v>26.625</v>
      </c>
      <c r="D97" s="51">
        <f t="shared" si="5"/>
        <v>319.5</v>
      </c>
      <c r="E97" s="49">
        <v>240.42</v>
      </c>
      <c r="F97" s="49">
        <f t="shared" si="6"/>
        <v>9.0298591549295768</v>
      </c>
      <c r="G97" s="52">
        <f t="shared" si="7"/>
        <v>0.11074369852757675</v>
      </c>
      <c r="I97" s="49">
        <v>0</v>
      </c>
      <c r="J97" s="49">
        <v>0</v>
      </c>
      <c r="K97" s="49">
        <v>0</v>
      </c>
      <c r="L97" s="49">
        <v>106.5</v>
      </c>
      <c r="M97" s="49">
        <v>106.5</v>
      </c>
      <c r="N97" s="49">
        <v>106.5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2004</v>
      </c>
      <c r="B98" s="50">
        <v>12</v>
      </c>
      <c r="C98" s="51">
        <f t="shared" si="4"/>
        <v>12.833333333333334</v>
      </c>
      <c r="D98" s="51">
        <f t="shared" si="5"/>
        <v>154</v>
      </c>
      <c r="E98" s="49">
        <v>240.42</v>
      </c>
      <c r="F98" s="49">
        <f t="shared" si="6"/>
        <v>18.734025974025972</v>
      </c>
      <c r="G98" s="52">
        <f t="shared" si="7"/>
        <v>5.3378809305936838E-2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77</v>
      </c>
      <c r="P98" s="49">
        <v>77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2005</v>
      </c>
      <c r="B99" s="50">
        <v>12</v>
      </c>
      <c r="C99" s="51">
        <f t="shared" si="4"/>
        <v>0</v>
      </c>
      <c r="D99" s="51">
        <f t="shared" si="5"/>
        <v>0</v>
      </c>
      <c r="E99" s="49">
        <v>240.42</v>
      </c>
      <c r="F99" s="49" t="e">
        <f t="shared" si="6"/>
        <v>#DIV/0!</v>
      </c>
      <c r="G99" s="52">
        <f t="shared" si="7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2006</v>
      </c>
      <c r="B100" s="50">
        <v>12</v>
      </c>
      <c r="C100" s="51">
        <f t="shared" si="4"/>
        <v>0</v>
      </c>
      <c r="D100" s="51">
        <f t="shared" si="5"/>
        <v>0</v>
      </c>
      <c r="E100" s="49">
        <v>240.42</v>
      </c>
      <c r="F100" s="49" t="e">
        <f t="shared" si="6"/>
        <v>#DIV/0!</v>
      </c>
      <c r="G100" s="52">
        <f t="shared" si="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2007</v>
      </c>
      <c r="B101" s="50">
        <v>12</v>
      </c>
      <c r="C101" s="51">
        <f t="shared" si="4"/>
        <v>0</v>
      </c>
      <c r="D101" s="51">
        <f t="shared" si="5"/>
        <v>0</v>
      </c>
      <c r="E101" s="49">
        <v>240.42</v>
      </c>
      <c r="F101" s="49" t="e">
        <f t="shared" si="6"/>
        <v>#DIV/0!</v>
      </c>
      <c r="G101" s="52">
        <f t="shared" si="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2008</v>
      </c>
      <c r="B102" s="50">
        <v>12</v>
      </c>
      <c r="C102" s="51">
        <f t="shared" si="4"/>
        <v>0</v>
      </c>
      <c r="D102" s="51">
        <f t="shared" si="5"/>
        <v>0</v>
      </c>
      <c r="E102" s="49">
        <v>240.42</v>
      </c>
      <c r="F102" s="49" t="e">
        <f t="shared" si="6"/>
        <v>#DIV/0!</v>
      </c>
      <c r="G102" s="52">
        <f t="shared" si="7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2009</v>
      </c>
      <c r="B103" s="50">
        <v>12</v>
      </c>
      <c r="C103" s="51">
        <f t="shared" si="4"/>
        <v>0</v>
      </c>
      <c r="D103" s="51">
        <f t="shared" si="5"/>
        <v>0</v>
      </c>
      <c r="E103" s="49">
        <v>240.42</v>
      </c>
      <c r="F103" s="49" t="e">
        <f t="shared" si="6"/>
        <v>#DIV/0!</v>
      </c>
      <c r="G103" s="52">
        <f t="shared" si="7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2010</v>
      </c>
      <c r="B104" s="50">
        <v>12</v>
      </c>
      <c r="C104" s="51">
        <f t="shared" si="4"/>
        <v>0</v>
      </c>
      <c r="D104" s="51">
        <f t="shared" si="5"/>
        <v>0</v>
      </c>
      <c r="E104" s="49">
        <v>240.42</v>
      </c>
      <c r="F104" s="49" t="e">
        <f t="shared" si="6"/>
        <v>#DIV/0!</v>
      </c>
      <c r="G104" s="52">
        <f t="shared" si="7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2011</v>
      </c>
      <c r="B105" s="50">
        <v>12</v>
      </c>
      <c r="C105" s="51">
        <f t="shared" ref="C105:C114" si="8">D105/B105</f>
        <v>0</v>
      </c>
      <c r="D105" s="51">
        <f t="shared" ref="D105:D114" si="9">SUM(I105:T105)</f>
        <v>0</v>
      </c>
      <c r="E105" s="49">
        <v>240.42</v>
      </c>
      <c r="F105" s="49" t="e">
        <f t="shared" ref="F105:F114" si="10">E105/C105</f>
        <v>#DIV/0!</v>
      </c>
      <c r="G105" s="52">
        <f t="shared" ref="G105:G114" si="11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2012</v>
      </c>
      <c r="B106" s="50">
        <v>12</v>
      </c>
      <c r="C106" s="51">
        <f t="shared" si="8"/>
        <v>0</v>
      </c>
      <c r="D106" s="51">
        <f t="shared" si="9"/>
        <v>0</v>
      </c>
      <c r="E106" s="49">
        <v>240.42</v>
      </c>
      <c r="F106" s="49" t="e">
        <f t="shared" si="10"/>
        <v>#DIV/0!</v>
      </c>
      <c r="G106" s="52">
        <f t="shared" si="11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2013</v>
      </c>
      <c r="B107" s="50">
        <v>12</v>
      </c>
      <c r="C107" s="51">
        <f t="shared" si="8"/>
        <v>0</v>
      </c>
      <c r="D107" s="51">
        <f t="shared" si="9"/>
        <v>0</v>
      </c>
      <c r="E107" s="49">
        <v>240.42</v>
      </c>
      <c r="F107" s="49" t="e">
        <f t="shared" si="10"/>
        <v>#DIV/0!</v>
      </c>
      <c r="G107" s="52">
        <f t="shared" si="11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s="53" customFormat="1" ht="15.75" customHeight="1" x14ac:dyDescent="0.25">
      <c r="A108" s="50">
        <v>2014</v>
      </c>
      <c r="B108" s="50">
        <v>12</v>
      </c>
      <c r="C108" s="51">
        <f t="shared" si="8"/>
        <v>0</v>
      </c>
      <c r="D108" s="51">
        <f t="shared" si="9"/>
        <v>0</v>
      </c>
      <c r="E108" s="49">
        <v>240.42</v>
      </c>
      <c r="F108" s="49" t="e">
        <f t="shared" si="10"/>
        <v>#DIV/0!</v>
      </c>
      <c r="G108" s="52">
        <f t="shared" si="11"/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s="53" customFormat="1" ht="15.75" customHeight="1" x14ac:dyDescent="0.25">
      <c r="A109" s="50">
        <v>2015</v>
      </c>
      <c r="B109" s="50">
        <v>12</v>
      </c>
      <c r="C109" s="51">
        <f t="shared" si="8"/>
        <v>0</v>
      </c>
      <c r="D109" s="51">
        <f t="shared" si="9"/>
        <v>0</v>
      </c>
      <c r="E109" s="49">
        <v>240.42</v>
      </c>
      <c r="F109" s="49" t="e">
        <f t="shared" si="10"/>
        <v>#DIV/0!</v>
      </c>
      <c r="G109" s="52">
        <f t="shared" si="11"/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s="53" customFormat="1" ht="15.75" customHeight="1" x14ac:dyDescent="0.25">
      <c r="A110" s="50">
        <v>2016</v>
      </c>
      <c r="B110" s="50">
        <v>12</v>
      </c>
      <c r="C110" s="51">
        <f t="shared" si="8"/>
        <v>0</v>
      </c>
      <c r="D110" s="51">
        <f t="shared" si="9"/>
        <v>0</v>
      </c>
      <c r="E110" s="49">
        <v>240.42</v>
      </c>
      <c r="F110" s="49" t="e">
        <f t="shared" si="10"/>
        <v>#DIV/0!</v>
      </c>
      <c r="G110" s="52">
        <f t="shared" si="11"/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s="53" customFormat="1" ht="15.75" customHeight="1" x14ac:dyDescent="0.25">
      <c r="A111" s="50">
        <v>2017</v>
      </c>
      <c r="B111" s="50">
        <v>12</v>
      </c>
      <c r="C111" s="51">
        <f t="shared" si="8"/>
        <v>0</v>
      </c>
      <c r="D111" s="51">
        <f t="shared" si="9"/>
        <v>0</v>
      </c>
      <c r="E111" s="49">
        <v>240.42</v>
      </c>
      <c r="F111" s="49" t="e">
        <f t="shared" si="10"/>
        <v>#DIV/0!</v>
      </c>
      <c r="G111" s="52">
        <f t="shared" si="11"/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  <row r="112" spans="1:20" s="53" customFormat="1" ht="15.75" customHeight="1" x14ac:dyDescent="0.25">
      <c r="A112" s="50">
        <v>2018</v>
      </c>
      <c r="B112" s="50">
        <v>12</v>
      </c>
      <c r="C112" s="51">
        <f t="shared" si="8"/>
        <v>0</v>
      </c>
      <c r="D112" s="51">
        <f t="shared" si="9"/>
        <v>0</v>
      </c>
      <c r="E112" s="49">
        <v>240.42</v>
      </c>
      <c r="F112" s="49" t="e">
        <f t="shared" si="10"/>
        <v>#DIV/0!</v>
      </c>
      <c r="G112" s="52">
        <f t="shared" si="11"/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  <row r="113" spans="1:20" s="53" customFormat="1" ht="15.75" customHeight="1" x14ac:dyDescent="0.25">
      <c r="A113" s="50">
        <v>2019</v>
      </c>
      <c r="B113" s="50">
        <v>12</v>
      </c>
      <c r="C113" s="51">
        <f t="shared" si="8"/>
        <v>0</v>
      </c>
      <c r="D113" s="51">
        <f t="shared" si="9"/>
        <v>0</v>
      </c>
      <c r="E113" s="49">
        <v>240.42</v>
      </c>
      <c r="F113" s="49" t="e">
        <f t="shared" si="10"/>
        <v>#DIV/0!</v>
      </c>
      <c r="G113" s="52">
        <f t="shared" si="11"/>
        <v>0</v>
      </c>
      <c r="I113" s="49">
        <v>0</v>
      </c>
      <c r="J113" s="49">
        <v>0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9">
        <v>0</v>
      </c>
      <c r="T113" s="49">
        <v>0</v>
      </c>
    </row>
    <row r="114" spans="1:20" s="53" customFormat="1" ht="15.75" customHeight="1" x14ac:dyDescent="0.25">
      <c r="A114" s="50">
        <v>2020</v>
      </c>
      <c r="B114" s="50">
        <v>12</v>
      </c>
      <c r="C114" s="51">
        <f t="shared" si="8"/>
        <v>0</v>
      </c>
      <c r="D114" s="51">
        <f t="shared" si="9"/>
        <v>0</v>
      </c>
      <c r="E114" s="49">
        <v>240.42</v>
      </c>
      <c r="F114" s="49" t="e">
        <f t="shared" si="10"/>
        <v>#DIV/0!</v>
      </c>
      <c r="G114" s="52">
        <f t="shared" si="11"/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0</v>
      </c>
      <c r="S114" s="49">
        <v>0</v>
      </c>
      <c r="T114" s="49">
        <v>0</v>
      </c>
    </row>
    <row r="115" spans="1:20" ht="15.75" customHeight="1" x14ac:dyDescent="0.25">
      <c r="A115" s="50">
        <v>2021</v>
      </c>
      <c r="B115" s="50">
        <v>12</v>
      </c>
      <c r="C115" s="51">
        <f t="shared" ref="C115" si="12">D115/B115</f>
        <v>0</v>
      </c>
      <c r="D115" s="51">
        <f t="shared" ref="D115" si="13">SUM(I115:T115)</f>
        <v>0</v>
      </c>
      <c r="E115" s="49">
        <v>240.42</v>
      </c>
      <c r="F115" s="49" t="e">
        <f t="shared" ref="F115" si="14">E115/C115</f>
        <v>#DIV/0!</v>
      </c>
      <c r="G115" s="52">
        <f t="shared" ref="G115" si="15">C115/E115</f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</row>
    <row r="116" spans="1:20" ht="15.75" customHeight="1" x14ac:dyDescent="0.25">
      <c r="A116" s="50">
        <v>2022</v>
      </c>
      <c r="B116" s="50">
        <v>12</v>
      </c>
      <c r="C116" s="51">
        <f t="shared" ref="C116" si="16">D116/B116</f>
        <v>0</v>
      </c>
      <c r="D116" s="51">
        <f t="shared" ref="D116" si="17">SUM(I116:T116)</f>
        <v>0</v>
      </c>
      <c r="E116" s="49">
        <v>240.42</v>
      </c>
      <c r="F116" s="49" t="e">
        <f t="shared" ref="F116" si="18">E116/C116</f>
        <v>#DIV/0!</v>
      </c>
      <c r="G116" s="52">
        <f t="shared" ref="G116" si="19">C116/E116</f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</row>
    <row r="117" spans="1:20" ht="15.75" customHeight="1" x14ac:dyDescent="0.25">
      <c r="A117" s="50">
        <v>2023</v>
      </c>
      <c r="B117" s="50">
        <v>12</v>
      </c>
      <c r="C117" s="51">
        <f t="shared" ref="C117" si="20">D117/B117</f>
        <v>0</v>
      </c>
      <c r="D117" s="51">
        <f t="shared" ref="D117" si="21">SUM(I117:T117)</f>
        <v>0</v>
      </c>
      <c r="E117" s="49">
        <v>240.42</v>
      </c>
      <c r="F117" s="49" t="e">
        <f t="shared" ref="F117" si="22">E117/C117</f>
        <v>#DIV/0!</v>
      </c>
      <c r="G117" s="52">
        <f t="shared" ref="G117" si="23">C117/E117</f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</row>
    <row r="118" spans="1:20" ht="15.75" customHeight="1" x14ac:dyDescent="0.25">
      <c r="A118" s="50">
        <v>2024</v>
      </c>
      <c r="B118" s="50">
        <v>12</v>
      </c>
      <c r="C118" s="51">
        <f t="shared" ref="C118" si="24">D118/B118</f>
        <v>0</v>
      </c>
      <c r="D118" s="51">
        <f t="shared" ref="D118" si="25">SUM(I118:T118)</f>
        <v>0</v>
      </c>
      <c r="E118" s="49">
        <v>240.42</v>
      </c>
      <c r="F118" s="49" t="e">
        <f t="shared" ref="F118" si="26">E118/C118</f>
        <v>#DIV/0!</v>
      </c>
      <c r="G118" s="52">
        <f t="shared" ref="G118" si="27">C118/E118</f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</row>
    <row r="119" spans="1:20" ht="15.75" customHeight="1" x14ac:dyDescent="0.25">
      <c r="A119" s="16">
        <v>2025</v>
      </c>
      <c r="B119" s="9">
        <v>12</v>
      </c>
      <c r="C119" s="51">
        <f t="shared" ref="C119" si="28">D119/B119</f>
        <v>0</v>
      </c>
      <c r="D119" s="51">
        <f t="shared" ref="D119" si="29">SUM(I119:T119)</f>
        <v>0</v>
      </c>
      <c r="E119" s="49">
        <v>240.42</v>
      </c>
      <c r="F119" s="49" t="e">
        <f t="shared" ref="F119" si="30">E119/C119</f>
        <v>#DIV/0!</v>
      </c>
      <c r="G119" s="52">
        <f t="shared" ref="G119" si="31">C119/E119</f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106"/>
  <sheetViews>
    <sheetView zoomScale="80" zoomScaleNormal="80" workbookViewId="0">
      <pane ySplit="1440" topLeftCell="A70" activePane="bottomLeft"/>
      <selection sqref="A1:XFD1048576"/>
      <selection pane="bottomLeft" activeCell="A106" sqref="A106:XFD106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88671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.5546875" style="56" customWidth="1"/>
    <col min="18" max="18" width="9.5546875" style="56" customWidth="1"/>
    <col min="19" max="19" width="11.44140625" style="56" customWidth="1"/>
    <col min="20" max="20" width="11.88671875" style="56" customWidth="1"/>
    <col min="21" max="16384" width="9.109375" style="40"/>
  </cols>
  <sheetData>
    <row r="1" spans="1:20" ht="15" x14ac:dyDescent="0.25">
      <c r="A1" s="120" t="s">
        <v>73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21" si="0">D3/B3</f>
        <v>4</v>
      </c>
      <c r="D3" s="51">
        <f t="shared" ref="D3:D21" si="1">SUM(I3:T3)</f>
        <v>48</v>
      </c>
      <c r="E3" s="49">
        <v>251.59</v>
      </c>
      <c r="F3" s="49">
        <f t="shared" ref="F3:F21" si="2">E3/C3</f>
        <v>62.897500000000001</v>
      </c>
      <c r="G3" s="52">
        <f t="shared" ref="G3:G21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ref="C23:C54" si="4">D23/B23</f>
        <v>10.208333333333334</v>
      </c>
      <c r="D23" s="51">
        <f t="shared" ref="D23:D54" si="5">SUM(I23:T23)</f>
        <v>122.5</v>
      </c>
      <c r="E23" s="49">
        <v>79.180000000000007</v>
      </c>
      <c r="F23" s="49">
        <f t="shared" ref="F23:F54" si="6">E23/C23</f>
        <v>7.7564081632653066</v>
      </c>
      <c r="G23" s="52">
        <f t="shared" ref="G23:G54" si="7">C23/E23</f>
        <v>0.1289256546265892</v>
      </c>
      <c r="I23" s="49"/>
      <c r="J23" s="49"/>
      <c r="K23" s="49"/>
      <c r="L23" s="49"/>
      <c r="M23" s="49"/>
      <c r="N23" s="49"/>
      <c r="O23" s="49"/>
      <c r="P23" s="49"/>
      <c r="Q23" s="49"/>
      <c r="R23" s="49">
        <v>114.1</v>
      </c>
      <c r="S23" s="49">
        <v>8.4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4"/>
        <v>10.741666666666667</v>
      </c>
      <c r="D24" s="51">
        <f t="shared" si="5"/>
        <v>128.9</v>
      </c>
      <c r="E24" s="49">
        <v>79.180000000000007</v>
      </c>
      <c r="F24" s="49">
        <f t="shared" si="6"/>
        <v>7.371295577967417</v>
      </c>
      <c r="G24" s="52">
        <f t="shared" si="7"/>
        <v>0.13566136229687631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73.400000000000006</v>
      </c>
      <c r="S24" s="49">
        <v>55.5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4"/>
        <v>4.0333333333333332</v>
      </c>
      <c r="D25" s="51">
        <f t="shared" si="5"/>
        <v>48.4</v>
      </c>
      <c r="E25" s="49">
        <v>79.180000000000007</v>
      </c>
      <c r="F25" s="49">
        <f t="shared" si="6"/>
        <v>19.631404958677688</v>
      </c>
      <c r="G25" s="52">
        <f t="shared" si="7"/>
        <v>5.0938789256546262E-2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2.9</v>
      </c>
      <c r="R25" s="49">
        <v>2.5</v>
      </c>
      <c r="S25" s="49">
        <v>38.799999999999997</v>
      </c>
      <c r="T25" s="49">
        <v>4.2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4"/>
        <v>8.6166666666666671</v>
      </c>
      <c r="D26" s="51">
        <f t="shared" si="5"/>
        <v>103.4</v>
      </c>
      <c r="E26" s="49">
        <v>79.180000000000007</v>
      </c>
      <c r="F26" s="49">
        <f t="shared" si="6"/>
        <v>9.1891682785299817</v>
      </c>
      <c r="G26" s="52">
        <f t="shared" si="7"/>
        <v>0.10882377704807611</v>
      </c>
      <c r="I26" s="49">
        <v>15.4</v>
      </c>
      <c r="J26" s="49">
        <v>0</v>
      </c>
      <c r="K26" s="49">
        <v>0.5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11.9</v>
      </c>
      <c r="S26" s="49">
        <v>53</v>
      </c>
      <c r="T26" s="49">
        <v>22.6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4"/>
        <v>12.666666666666666</v>
      </c>
      <c r="D27" s="51">
        <f t="shared" si="5"/>
        <v>152</v>
      </c>
      <c r="E27" s="49">
        <v>79.180000000000007</v>
      </c>
      <c r="F27" s="49">
        <f t="shared" si="6"/>
        <v>6.2510526315789479</v>
      </c>
      <c r="G27" s="52">
        <f t="shared" si="7"/>
        <v>0.15997305716931884</v>
      </c>
      <c r="I27" s="49">
        <v>3</v>
      </c>
      <c r="J27" s="49">
        <v>3</v>
      </c>
      <c r="K27" s="49">
        <v>1.4</v>
      </c>
      <c r="L27" s="49">
        <v>0</v>
      </c>
      <c r="M27" s="49">
        <v>9</v>
      </c>
      <c r="N27" s="49">
        <v>0.3</v>
      </c>
      <c r="O27" s="49">
        <v>0</v>
      </c>
      <c r="P27" s="49">
        <v>0</v>
      </c>
      <c r="Q27" s="49">
        <v>0</v>
      </c>
      <c r="R27" s="49">
        <v>35.1</v>
      </c>
      <c r="S27" s="49">
        <v>100.2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4"/>
        <v>8.1749999999999989</v>
      </c>
      <c r="D28" s="51">
        <f t="shared" si="5"/>
        <v>98.1</v>
      </c>
      <c r="E28" s="49">
        <v>79.180000000000007</v>
      </c>
      <c r="F28" s="49">
        <f t="shared" si="6"/>
        <v>9.6856269113149871</v>
      </c>
      <c r="G28" s="52">
        <f t="shared" si="7"/>
        <v>0.10324576913361957</v>
      </c>
      <c r="I28" s="49">
        <v>0</v>
      </c>
      <c r="J28" s="49">
        <v>0</v>
      </c>
      <c r="K28" s="49">
        <v>0</v>
      </c>
      <c r="L28" s="49">
        <v>0.6</v>
      </c>
      <c r="M28" s="49">
        <v>1</v>
      </c>
      <c r="N28" s="49">
        <v>0</v>
      </c>
      <c r="O28" s="49">
        <v>0</v>
      </c>
      <c r="P28" s="49">
        <v>0</v>
      </c>
      <c r="Q28" s="49">
        <v>0</v>
      </c>
      <c r="R28" s="49">
        <v>6.5</v>
      </c>
      <c r="S28" s="49">
        <v>90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4"/>
        <v>11.016666666666666</v>
      </c>
      <c r="D29" s="51">
        <f t="shared" si="5"/>
        <v>132.19999999999999</v>
      </c>
      <c r="E29" s="49">
        <v>79.180000000000007</v>
      </c>
      <c r="F29" s="49">
        <f t="shared" si="6"/>
        <v>7.1872919818456893</v>
      </c>
      <c r="G29" s="52">
        <f t="shared" si="7"/>
        <v>0.13913446156436809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0.5</v>
      </c>
      <c r="R29" s="49">
        <v>30.1</v>
      </c>
      <c r="S29" s="49">
        <v>101.6</v>
      </c>
      <c r="T29" s="49">
        <v>0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4"/>
        <v>5.05</v>
      </c>
      <c r="D30" s="51">
        <f t="shared" si="5"/>
        <v>60.6</v>
      </c>
      <c r="E30" s="49">
        <v>79.180000000000007</v>
      </c>
      <c r="F30" s="49">
        <f t="shared" si="6"/>
        <v>15.679207920792081</v>
      </c>
      <c r="G30" s="52">
        <f t="shared" si="7"/>
        <v>6.3778732003031066E-2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58.7</v>
      </c>
      <c r="T30" s="49">
        <v>1.9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4"/>
        <v>8.0333333333333332</v>
      </c>
      <c r="D31" s="51">
        <f t="shared" si="5"/>
        <v>96.399999999999991</v>
      </c>
      <c r="E31" s="49">
        <v>79.180000000000007</v>
      </c>
      <c r="F31" s="49">
        <f t="shared" si="6"/>
        <v>9.8564315352697101</v>
      </c>
      <c r="G31" s="52">
        <f t="shared" si="7"/>
        <v>0.10145659678369957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10.3</v>
      </c>
      <c r="S31" s="49">
        <v>78.599999999999994</v>
      </c>
      <c r="T31" s="49">
        <v>7.5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4"/>
        <v>6.9083333333333323</v>
      </c>
      <c r="D32" s="51">
        <f t="shared" si="5"/>
        <v>82.899999999999991</v>
      </c>
      <c r="E32" s="49">
        <v>79.180000000000007</v>
      </c>
      <c r="F32" s="49">
        <f t="shared" si="6"/>
        <v>11.461519903498193</v>
      </c>
      <c r="G32" s="52">
        <f t="shared" si="7"/>
        <v>8.7248463416687697E-2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0.3</v>
      </c>
      <c r="Q32" s="49">
        <v>3.1</v>
      </c>
      <c r="R32" s="49">
        <v>7.4</v>
      </c>
      <c r="S32" s="49">
        <v>72.099999999999994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4"/>
        <v>3.6750000000000003</v>
      </c>
      <c r="D33" s="51">
        <f t="shared" si="5"/>
        <v>44.1</v>
      </c>
      <c r="E33" s="49">
        <v>79.180000000000007</v>
      </c>
      <c r="F33" s="49">
        <f t="shared" si="6"/>
        <v>21.545578231292517</v>
      </c>
      <c r="G33" s="52">
        <f t="shared" si="7"/>
        <v>4.6413235665572115E-2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1</v>
      </c>
      <c r="R33" s="49">
        <v>38.6</v>
      </c>
      <c r="S33" s="49">
        <v>4.5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4"/>
        <v>7.875</v>
      </c>
      <c r="D34" s="51">
        <f t="shared" si="5"/>
        <v>94.5</v>
      </c>
      <c r="E34" s="49">
        <v>79.180000000000007</v>
      </c>
      <c r="F34" s="49">
        <f t="shared" si="6"/>
        <v>10.054603174603175</v>
      </c>
      <c r="G34" s="52">
        <f t="shared" si="7"/>
        <v>9.9456933569083097E-2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4.2</v>
      </c>
      <c r="O34" s="49">
        <v>6.7</v>
      </c>
      <c r="P34" s="49">
        <v>0</v>
      </c>
      <c r="Q34" s="49">
        <v>3.7</v>
      </c>
      <c r="R34" s="49">
        <v>79.900000000000006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si="4"/>
        <v>4.875</v>
      </c>
      <c r="D35" s="51">
        <f t="shared" si="5"/>
        <v>58.5</v>
      </c>
      <c r="E35" s="49">
        <v>79.180000000000007</v>
      </c>
      <c r="F35" s="49">
        <f t="shared" si="6"/>
        <v>16.242051282051282</v>
      </c>
      <c r="G35" s="52">
        <f t="shared" si="7"/>
        <v>6.1568577923718108E-2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1.4</v>
      </c>
      <c r="S35" s="49">
        <v>53.1</v>
      </c>
      <c r="T35" s="49">
        <v>4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7.3916666666666657</v>
      </c>
      <c r="D36" s="51">
        <f t="shared" si="5"/>
        <v>88.699999999999989</v>
      </c>
      <c r="E36" s="49">
        <v>79.180000000000007</v>
      </c>
      <c r="F36" s="49">
        <f t="shared" si="6"/>
        <v>10.712063134160093</v>
      </c>
      <c r="G36" s="52">
        <f t="shared" si="7"/>
        <v>9.3352698492885383E-2</v>
      </c>
      <c r="I36" s="49">
        <v>8.1999999999999993</v>
      </c>
      <c r="J36" s="49">
        <v>0</v>
      </c>
      <c r="K36" s="49">
        <v>0</v>
      </c>
      <c r="L36" s="49">
        <v>0</v>
      </c>
      <c r="M36" s="49">
        <v>26.4</v>
      </c>
      <c r="N36" s="49">
        <v>0.2</v>
      </c>
      <c r="O36" s="49">
        <v>1.3</v>
      </c>
      <c r="P36" s="49">
        <v>1.8</v>
      </c>
      <c r="Q36" s="49">
        <v>0</v>
      </c>
      <c r="R36" s="49">
        <v>28</v>
      </c>
      <c r="S36" s="49">
        <v>22.8</v>
      </c>
      <c r="T36" s="49">
        <v>0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12.508333333333333</v>
      </c>
      <c r="D37" s="51">
        <f t="shared" si="5"/>
        <v>150.1</v>
      </c>
      <c r="E37" s="49">
        <v>79.180000000000007</v>
      </c>
      <c r="F37" s="49">
        <f t="shared" si="6"/>
        <v>6.3301798800799478</v>
      </c>
      <c r="G37" s="52">
        <f t="shared" si="7"/>
        <v>0.15797339395470233</v>
      </c>
      <c r="I37" s="49">
        <v>0</v>
      </c>
      <c r="J37" s="49">
        <v>14.4</v>
      </c>
      <c r="K37" s="49">
        <v>0</v>
      </c>
      <c r="L37" s="49">
        <v>0</v>
      </c>
      <c r="M37" s="49">
        <v>23.1</v>
      </c>
      <c r="N37" s="49">
        <v>0</v>
      </c>
      <c r="O37" s="49">
        <v>4.7</v>
      </c>
      <c r="P37" s="49">
        <v>13.5</v>
      </c>
      <c r="Q37" s="49">
        <v>4.4000000000000004</v>
      </c>
      <c r="R37" s="49">
        <v>6.2</v>
      </c>
      <c r="S37" s="49">
        <v>68.400000000000006</v>
      </c>
      <c r="T37" s="49">
        <v>15.4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13.566666666666668</v>
      </c>
      <c r="D38" s="51">
        <f t="shared" si="5"/>
        <v>162.80000000000001</v>
      </c>
      <c r="E38" s="49">
        <v>79.180000000000007</v>
      </c>
      <c r="F38" s="49">
        <f t="shared" si="6"/>
        <v>5.836363636363636</v>
      </c>
      <c r="G38" s="52">
        <f t="shared" si="7"/>
        <v>0.17133956386292834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0.4</v>
      </c>
      <c r="Q38" s="49">
        <v>3.3</v>
      </c>
      <c r="R38" s="49">
        <v>17.100000000000001</v>
      </c>
      <c r="S38" s="49">
        <v>141.30000000000001</v>
      </c>
      <c r="T38" s="49">
        <v>0.7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14.049999999999997</v>
      </c>
      <c r="D39" s="51">
        <f t="shared" si="5"/>
        <v>168.59999999999997</v>
      </c>
      <c r="E39" s="49">
        <v>79.180000000000007</v>
      </c>
      <c r="F39" s="49">
        <f t="shared" si="6"/>
        <v>5.6355871886121012</v>
      </c>
      <c r="G39" s="52">
        <f t="shared" si="7"/>
        <v>0.17744379893912599</v>
      </c>
      <c r="I39" s="49">
        <v>0</v>
      </c>
      <c r="J39" s="49">
        <v>0</v>
      </c>
      <c r="K39" s="49">
        <v>0</v>
      </c>
      <c r="L39" s="49">
        <v>36.9</v>
      </c>
      <c r="M39" s="49">
        <v>50.7</v>
      </c>
      <c r="N39" s="49">
        <v>3</v>
      </c>
      <c r="O39" s="49">
        <v>0</v>
      </c>
      <c r="P39" s="49">
        <v>0</v>
      </c>
      <c r="Q39" s="49">
        <v>2.2000000000000002</v>
      </c>
      <c r="R39" s="49">
        <v>4</v>
      </c>
      <c r="S39" s="49">
        <v>69.099999999999994</v>
      </c>
      <c r="T39" s="49">
        <v>2.7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21.55</v>
      </c>
      <c r="D40" s="51">
        <f t="shared" si="5"/>
        <v>258.60000000000002</v>
      </c>
      <c r="E40" s="49">
        <v>79.180000000000007</v>
      </c>
      <c r="F40" s="49">
        <f t="shared" si="6"/>
        <v>3.6742459396751741</v>
      </c>
      <c r="G40" s="52">
        <f t="shared" si="7"/>
        <v>0.27216468805253852</v>
      </c>
      <c r="I40" s="49">
        <v>3.7</v>
      </c>
      <c r="J40" s="49">
        <v>5.2</v>
      </c>
      <c r="K40" s="49">
        <v>5.4</v>
      </c>
      <c r="L40" s="49">
        <v>16.2</v>
      </c>
      <c r="M40" s="49">
        <v>23.6</v>
      </c>
      <c r="N40" s="49">
        <v>25.9</v>
      </c>
      <c r="O40" s="49">
        <v>10.4</v>
      </c>
      <c r="P40" s="49">
        <v>1.7</v>
      </c>
      <c r="Q40" s="49">
        <v>4</v>
      </c>
      <c r="R40" s="49">
        <v>116.2</v>
      </c>
      <c r="S40" s="49">
        <v>46.3</v>
      </c>
      <c r="T40" s="49">
        <v>0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9.3250000000000011</v>
      </c>
      <c r="D41" s="51">
        <f t="shared" si="5"/>
        <v>111.9</v>
      </c>
      <c r="E41" s="49">
        <v>79.180000000000007</v>
      </c>
      <c r="F41" s="49">
        <f t="shared" si="6"/>
        <v>8.4911528150134039</v>
      </c>
      <c r="G41" s="52">
        <f t="shared" si="7"/>
        <v>0.11776963879767618</v>
      </c>
      <c r="I41" s="49">
        <v>2.2999999999999998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18.3</v>
      </c>
      <c r="S41" s="49">
        <v>88.3</v>
      </c>
      <c r="T41" s="49">
        <v>3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17.025000000000002</v>
      </c>
      <c r="D42" s="51">
        <f t="shared" si="5"/>
        <v>204.3</v>
      </c>
      <c r="E42" s="49">
        <v>79.180000000000007</v>
      </c>
      <c r="F42" s="49">
        <f t="shared" si="6"/>
        <v>4.6508076358296622</v>
      </c>
      <c r="G42" s="52">
        <f t="shared" si="7"/>
        <v>0.21501641828744633</v>
      </c>
      <c r="I42" s="49">
        <v>6.4</v>
      </c>
      <c r="J42" s="49">
        <v>6.6</v>
      </c>
      <c r="K42" s="49">
        <v>6.8</v>
      </c>
      <c r="L42" s="49">
        <v>0</v>
      </c>
      <c r="M42" s="49">
        <v>3.7</v>
      </c>
      <c r="N42" s="49">
        <v>11.1</v>
      </c>
      <c r="O42" s="49">
        <v>12.1</v>
      </c>
      <c r="P42" s="49">
        <v>14</v>
      </c>
      <c r="Q42" s="49">
        <v>10.7</v>
      </c>
      <c r="R42" s="49">
        <v>19</v>
      </c>
      <c r="S42" s="49">
        <v>113.9</v>
      </c>
      <c r="T42" s="49">
        <v>0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4.4833333333333334</v>
      </c>
      <c r="D43" s="51">
        <f t="shared" si="5"/>
        <v>53.800000000000004</v>
      </c>
      <c r="E43" s="49">
        <v>79.180000000000007</v>
      </c>
      <c r="F43" s="49">
        <f t="shared" si="6"/>
        <v>17.660966542750931</v>
      </c>
      <c r="G43" s="52">
        <f t="shared" si="7"/>
        <v>5.6622042603351012E-2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6.6</v>
      </c>
      <c r="O43" s="49">
        <v>0</v>
      </c>
      <c r="P43" s="49">
        <v>0</v>
      </c>
      <c r="Q43" s="49">
        <v>0</v>
      </c>
      <c r="R43" s="49">
        <v>0.5</v>
      </c>
      <c r="S43" s="49">
        <v>46.7</v>
      </c>
      <c r="T43" s="49">
        <v>0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7.8416666666666659</v>
      </c>
      <c r="D44" s="51">
        <f t="shared" si="5"/>
        <v>94.1</v>
      </c>
      <c r="E44" s="49">
        <v>79.180000000000007</v>
      </c>
      <c r="F44" s="49">
        <f t="shared" si="6"/>
        <v>10.097343251859726</v>
      </c>
      <c r="G44" s="52">
        <f t="shared" si="7"/>
        <v>9.9035951839690134E-2</v>
      </c>
      <c r="I44" s="49">
        <v>0</v>
      </c>
      <c r="J44" s="49">
        <v>0</v>
      </c>
      <c r="K44" s="49">
        <v>0.5</v>
      </c>
      <c r="L44" s="49">
        <v>6</v>
      </c>
      <c r="M44" s="49">
        <v>6</v>
      </c>
      <c r="N44" s="49">
        <v>6</v>
      </c>
      <c r="O44" s="49">
        <v>0</v>
      </c>
      <c r="P44" s="49">
        <v>0</v>
      </c>
      <c r="Q44" s="49">
        <v>0</v>
      </c>
      <c r="R44" s="49">
        <v>11.9</v>
      </c>
      <c r="S44" s="49">
        <v>63.7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7.05</v>
      </c>
      <c r="D45" s="51">
        <f t="shared" si="5"/>
        <v>84.6</v>
      </c>
      <c r="E45" s="49">
        <v>79.180000000000007</v>
      </c>
      <c r="F45" s="49">
        <f t="shared" si="6"/>
        <v>11.231205673758867</v>
      </c>
      <c r="G45" s="52">
        <f t="shared" si="7"/>
        <v>8.9037635766607726E-2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84.6</v>
      </c>
      <c r="T45" s="49">
        <v>0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3</v>
      </c>
      <c r="D46" s="51">
        <f t="shared" si="5"/>
        <v>36</v>
      </c>
      <c r="E46" s="49">
        <v>79.180000000000007</v>
      </c>
      <c r="F46" s="49">
        <f t="shared" si="6"/>
        <v>26.393333333333334</v>
      </c>
      <c r="G46" s="52">
        <f t="shared" si="7"/>
        <v>3.7888355645364989E-2</v>
      </c>
      <c r="I46" s="49">
        <v>0</v>
      </c>
      <c r="J46" s="49">
        <v>0</v>
      </c>
      <c r="K46" s="49">
        <v>0</v>
      </c>
      <c r="L46" s="49">
        <v>0.3</v>
      </c>
      <c r="M46" s="49">
        <v>2.9</v>
      </c>
      <c r="N46" s="49">
        <v>3</v>
      </c>
      <c r="O46" s="49">
        <v>1</v>
      </c>
      <c r="P46" s="49">
        <v>0</v>
      </c>
      <c r="Q46" s="49">
        <v>0</v>
      </c>
      <c r="R46" s="49">
        <v>0</v>
      </c>
      <c r="S46" s="49">
        <v>28.8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4.833333333333333</v>
      </c>
      <c r="D47" s="51">
        <f t="shared" si="5"/>
        <v>58</v>
      </c>
      <c r="E47" s="49">
        <v>79.180000000000007</v>
      </c>
      <c r="F47" s="49">
        <f t="shared" si="6"/>
        <v>16.382068965517245</v>
      </c>
      <c r="G47" s="52">
        <f t="shared" si="7"/>
        <v>6.1042350761976921E-2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57.7</v>
      </c>
      <c r="T47" s="49">
        <v>0.3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6.8666666666666671</v>
      </c>
      <c r="D48" s="51">
        <f t="shared" si="5"/>
        <v>82.4</v>
      </c>
      <c r="E48" s="49">
        <v>79.180000000000007</v>
      </c>
      <c r="F48" s="49">
        <f t="shared" si="6"/>
        <v>11.531067961165048</v>
      </c>
      <c r="G48" s="52">
        <f t="shared" si="7"/>
        <v>8.672223625494653E-2</v>
      </c>
      <c r="I48" s="49">
        <v>0</v>
      </c>
      <c r="J48" s="49">
        <v>0</v>
      </c>
      <c r="K48" s="49">
        <v>0</v>
      </c>
      <c r="L48" s="49">
        <v>0</v>
      </c>
      <c r="M48" s="49">
        <v>6.1</v>
      </c>
      <c r="N48" s="49">
        <v>6.2</v>
      </c>
      <c r="O48" s="49">
        <v>0.8</v>
      </c>
      <c r="P48" s="49">
        <v>0</v>
      </c>
      <c r="Q48" s="49">
        <v>0</v>
      </c>
      <c r="R48" s="49">
        <v>13.7</v>
      </c>
      <c r="S48" s="49">
        <v>55.6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3.1583333333333328</v>
      </c>
      <c r="D49" s="51">
        <f t="shared" si="5"/>
        <v>37.899999999999991</v>
      </c>
      <c r="E49" s="49">
        <v>79.180000000000007</v>
      </c>
      <c r="F49" s="49">
        <f t="shared" si="6"/>
        <v>25.070184696569928</v>
      </c>
      <c r="G49" s="52">
        <f t="shared" si="7"/>
        <v>3.9888018859981465E-2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10.199999999999999</v>
      </c>
      <c r="S49" s="49">
        <v>26.9</v>
      </c>
      <c r="T49" s="49">
        <v>0.8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13.666666666666666</v>
      </c>
      <c r="D50" s="51">
        <f t="shared" si="5"/>
        <v>164</v>
      </c>
      <c r="E50" s="49">
        <v>79.180000000000007</v>
      </c>
      <c r="F50" s="49">
        <f t="shared" si="6"/>
        <v>5.793658536585367</v>
      </c>
      <c r="G50" s="52">
        <f t="shared" si="7"/>
        <v>0.17260250905110716</v>
      </c>
      <c r="I50" s="49">
        <v>10</v>
      </c>
      <c r="J50" s="49">
        <v>10</v>
      </c>
      <c r="K50" s="49">
        <v>10.7</v>
      </c>
      <c r="L50" s="49">
        <v>11</v>
      </c>
      <c r="M50" s="49">
        <v>11</v>
      </c>
      <c r="N50" s="49">
        <v>11</v>
      </c>
      <c r="O50" s="49">
        <v>11</v>
      </c>
      <c r="P50" s="49">
        <v>11</v>
      </c>
      <c r="Q50" s="49">
        <v>11</v>
      </c>
      <c r="R50" s="49">
        <v>10</v>
      </c>
      <c r="S50" s="49">
        <v>52.3</v>
      </c>
      <c r="T50" s="49">
        <v>5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9.8166666666666682</v>
      </c>
      <c r="D51" s="51">
        <f t="shared" si="5"/>
        <v>117.80000000000001</v>
      </c>
      <c r="E51" s="49">
        <v>79.180000000000007</v>
      </c>
      <c r="F51" s="49">
        <f t="shared" si="6"/>
        <v>8.0658743633276728</v>
      </c>
      <c r="G51" s="52">
        <f t="shared" si="7"/>
        <v>0.12397911930622212</v>
      </c>
      <c r="I51" s="49">
        <v>1.9</v>
      </c>
      <c r="J51" s="49">
        <v>0</v>
      </c>
      <c r="K51" s="49">
        <v>0</v>
      </c>
      <c r="L51" s="49">
        <v>0</v>
      </c>
      <c r="M51" s="49">
        <v>1.3</v>
      </c>
      <c r="N51" s="49">
        <v>8</v>
      </c>
      <c r="O51" s="49">
        <v>6.6</v>
      </c>
      <c r="P51" s="49">
        <v>1.6</v>
      </c>
      <c r="Q51" s="49">
        <v>0</v>
      </c>
      <c r="R51" s="49">
        <v>98.4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8.4666666666666668</v>
      </c>
      <c r="D52" s="51">
        <f t="shared" si="5"/>
        <v>101.6</v>
      </c>
      <c r="E52" s="49">
        <v>79.180000000000007</v>
      </c>
      <c r="F52" s="49">
        <f t="shared" si="6"/>
        <v>9.3519685039370088</v>
      </c>
      <c r="G52" s="52">
        <f t="shared" si="7"/>
        <v>0.10692935926580785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50.7</v>
      </c>
      <c r="S52" s="49">
        <v>50.9</v>
      </c>
      <c r="T52" s="49">
        <v>0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11.450000000000001</v>
      </c>
      <c r="D53" s="51">
        <f t="shared" si="5"/>
        <v>137.4</v>
      </c>
      <c r="E53" s="49">
        <v>79.180000000000007</v>
      </c>
      <c r="F53" s="49">
        <f t="shared" si="6"/>
        <v>6.9152838427947598</v>
      </c>
      <c r="G53" s="52">
        <f t="shared" si="7"/>
        <v>0.14460722404647638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0.5</v>
      </c>
      <c r="O53" s="49">
        <v>0</v>
      </c>
      <c r="P53" s="49">
        <v>0</v>
      </c>
      <c r="Q53" s="49">
        <v>0</v>
      </c>
      <c r="R53" s="49">
        <v>31.8</v>
      </c>
      <c r="S53" s="49">
        <v>97</v>
      </c>
      <c r="T53" s="49">
        <v>8.1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11.666666666666666</v>
      </c>
      <c r="D54" s="51">
        <f t="shared" si="5"/>
        <v>140</v>
      </c>
      <c r="E54" s="49">
        <v>79.180000000000007</v>
      </c>
      <c r="F54" s="49">
        <f t="shared" si="6"/>
        <v>6.7868571428571434</v>
      </c>
      <c r="G54" s="52">
        <f t="shared" si="7"/>
        <v>0.14734360528753049</v>
      </c>
      <c r="I54" s="49">
        <v>4</v>
      </c>
      <c r="J54" s="49">
        <v>3.9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29.6</v>
      </c>
      <c r="S54" s="49">
        <v>102.5</v>
      </c>
      <c r="T54" s="49">
        <v>0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ref="C55:C86" si="8">D55/B55</f>
        <v>14.391666666666666</v>
      </c>
      <c r="D55" s="51">
        <f t="shared" ref="D55:D91" si="9">SUM(I55:T55)</f>
        <v>172.7</v>
      </c>
      <c r="E55" s="49">
        <v>79.180000000000007</v>
      </c>
      <c r="F55" s="49">
        <f t="shared" ref="F55:F86" si="10">E55/C55</f>
        <v>5.5017950202663588</v>
      </c>
      <c r="G55" s="52">
        <f t="shared" ref="G55:G91" si="11">C55/E55</f>
        <v>0.1817588616654037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8.6999999999999993</v>
      </c>
      <c r="S55" s="49">
        <v>164</v>
      </c>
      <c r="T55" s="49">
        <v>0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8"/>
        <v>20.433333333333334</v>
      </c>
      <c r="D56" s="51">
        <f t="shared" si="9"/>
        <v>245.20000000000002</v>
      </c>
      <c r="E56" s="49">
        <v>79.180000000000007</v>
      </c>
      <c r="F56" s="49">
        <f t="shared" si="10"/>
        <v>3.8750407830342581</v>
      </c>
      <c r="G56" s="52">
        <f t="shared" si="11"/>
        <v>0.25806180011787488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30.9</v>
      </c>
      <c r="S56" s="49">
        <v>214.3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8"/>
        <v>0</v>
      </c>
      <c r="D57" s="51">
        <f t="shared" si="9"/>
        <v>0</v>
      </c>
      <c r="E57" s="49">
        <v>79.180000000000007</v>
      </c>
      <c r="F57" s="49" t="e">
        <f t="shared" si="10"/>
        <v>#DIV/0!</v>
      </c>
      <c r="G57" s="52">
        <f t="shared" si="11"/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79.180000000000007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79.180000000000007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79.180000000000007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79.180000000000007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79.180000000000007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si="8"/>
        <v>0</v>
      </c>
      <c r="D63" s="51">
        <f t="shared" si="9"/>
        <v>0</v>
      </c>
      <c r="E63" s="49">
        <v>79.180000000000007</v>
      </c>
      <c r="F63" s="49" t="e">
        <f t="shared" si="10"/>
        <v>#DIV/0!</v>
      </c>
      <c r="G63" s="52">
        <f t="shared" si="11"/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 t="shared" si="8"/>
        <v>0</v>
      </c>
      <c r="D64" s="51">
        <f t="shared" si="9"/>
        <v>0</v>
      </c>
      <c r="E64" s="49">
        <v>79.180000000000007</v>
      </c>
      <c r="F64" s="49" t="e">
        <f t="shared" si="10"/>
        <v>#DIV/0!</v>
      </c>
      <c r="G64" s="52">
        <f t="shared" si="11"/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si="8"/>
        <v>0</v>
      </c>
      <c r="D65" s="51">
        <f t="shared" si="9"/>
        <v>0</v>
      </c>
      <c r="E65" s="49">
        <v>79.180000000000007</v>
      </c>
      <c r="F65" s="49" t="e">
        <f t="shared" si="10"/>
        <v>#DIV/0!</v>
      </c>
      <c r="G65" s="52">
        <f t="shared" si="11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8"/>
        <v>0</v>
      </c>
      <c r="D66" s="51">
        <f t="shared" si="9"/>
        <v>0</v>
      </c>
      <c r="E66" s="49">
        <v>79.180000000000007</v>
      </c>
      <c r="F66" s="49" t="e">
        <f t="shared" si="10"/>
        <v>#DIV/0!</v>
      </c>
      <c r="G66" s="52">
        <f t="shared" si="11"/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8"/>
        <v>0</v>
      </c>
      <c r="D67" s="51">
        <f t="shared" si="9"/>
        <v>0</v>
      </c>
      <c r="E67" s="49">
        <v>79.180000000000007</v>
      </c>
      <c r="F67" s="49" t="e">
        <f t="shared" si="10"/>
        <v>#DIV/0!</v>
      </c>
      <c r="G67" s="52">
        <f t="shared" si="11"/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8"/>
        <v>0</v>
      </c>
      <c r="D68" s="51">
        <f t="shared" si="9"/>
        <v>0</v>
      </c>
      <c r="E68" s="49">
        <v>79.180000000000007</v>
      </c>
      <c r="F68" s="49" t="e">
        <f t="shared" si="10"/>
        <v>#DIV/0!</v>
      </c>
      <c r="G68" s="52">
        <f t="shared" si="11"/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8"/>
        <v>0</v>
      </c>
      <c r="D69" s="51">
        <f t="shared" si="9"/>
        <v>0</v>
      </c>
      <c r="E69" s="49">
        <v>79.180000000000007</v>
      </c>
      <c r="F69" s="49" t="e">
        <f t="shared" si="10"/>
        <v>#DIV/0!</v>
      </c>
      <c r="G69" s="52">
        <f t="shared" si="11"/>
        <v>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0</v>
      </c>
      <c r="T69" s="49">
        <v>0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8"/>
        <v>0</v>
      </c>
      <c r="D70" s="51">
        <f t="shared" si="9"/>
        <v>0</v>
      </c>
      <c r="E70" s="49">
        <v>79.180000000000007</v>
      </c>
      <c r="F70" s="49" t="e">
        <f t="shared" si="10"/>
        <v>#DIV/0!</v>
      </c>
      <c r="G70" s="52">
        <f t="shared" si="11"/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8"/>
        <v>0</v>
      </c>
      <c r="D71" s="51">
        <f t="shared" si="9"/>
        <v>0</v>
      </c>
      <c r="E71" s="49">
        <v>79.180000000000007</v>
      </c>
      <c r="F71" s="49" t="e">
        <f t="shared" si="10"/>
        <v>#DIV/0!</v>
      </c>
      <c r="G71" s="52">
        <f t="shared" si="11"/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8"/>
        <v>0</v>
      </c>
      <c r="D72" s="51">
        <f t="shared" si="9"/>
        <v>0</v>
      </c>
      <c r="E72" s="49">
        <v>79.180000000000007</v>
      </c>
      <c r="F72" s="49" t="e">
        <f t="shared" si="10"/>
        <v>#DIV/0!</v>
      </c>
      <c r="G72" s="52">
        <f t="shared" si="11"/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8"/>
        <v>0</v>
      </c>
      <c r="D73" s="51">
        <f t="shared" si="9"/>
        <v>0</v>
      </c>
      <c r="E73" s="49">
        <v>79.180000000000007</v>
      </c>
      <c r="F73" s="49" t="e">
        <f t="shared" si="10"/>
        <v>#DIV/0!</v>
      </c>
      <c r="G73" s="52">
        <f t="shared" si="11"/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8"/>
        <v>0</v>
      </c>
      <c r="D74" s="51">
        <f t="shared" si="9"/>
        <v>0</v>
      </c>
      <c r="E74" s="49">
        <v>79.180000000000007</v>
      </c>
      <c r="F74" s="49" t="e">
        <f t="shared" si="10"/>
        <v>#DIV/0!</v>
      </c>
      <c r="G74" s="52">
        <f t="shared" si="11"/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8"/>
        <v>0</v>
      </c>
      <c r="D75" s="51">
        <f t="shared" si="9"/>
        <v>0</v>
      </c>
      <c r="E75" s="49">
        <v>79.180000000000007</v>
      </c>
      <c r="F75" s="49" t="e">
        <f t="shared" si="10"/>
        <v>#DIV/0!</v>
      </c>
      <c r="G75" s="52">
        <f t="shared" si="11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8"/>
        <v>0</v>
      </c>
      <c r="D76" s="51">
        <f t="shared" si="9"/>
        <v>0</v>
      </c>
      <c r="E76" s="49">
        <v>79.180000000000007</v>
      </c>
      <c r="F76" s="49" t="e">
        <f t="shared" si="10"/>
        <v>#DIV/0!</v>
      </c>
      <c r="G76" s="52">
        <f t="shared" si="11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8"/>
        <v>0</v>
      </c>
      <c r="D77" s="51">
        <f t="shared" si="9"/>
        <v>0</v>
      </c>
      <c r="E77" s="49">
        <v>79.180000000000007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8"/>
        <v>0</v>
      </c>
      <c r="D78" s="51">
        <f t="shared" si="9"/>
        <v>0</v>
      </c>
      <c r="E78" s="49">
        <v>79.180000000000007</v>
      </c>
      <c r="F78" s="49" t="e">
        <f t="shared" si="10"/>
        <v>#DIV/0!</v>
      </c>
      <c r="G78" s="52">
        <f t="shared" si="11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8"/>
        <v>0</v>
      </c>
      <c r="D79" s="51">
        <f t="shared" si="9"/>
        <v>0</v>
      </c>
      <c r="E79" s="49">
        <v>79.180000000000007</v>
      </c>
      <c r="F79" s="49" t="e">
        <f t="shared" si="10"/>
        <v>#DIV/0!</v>
      </c>
      <c r="G79" s="52">
        <f t="shared" si="11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8"/>
        <v>0</v>
      </c>
      <c r="D80" s="51">
        <f t="shared" si="9"/>
        <v>0</v>
      </c>
      <c r="E80" s="49">
        <v>79.180000000000007</v>
      </c>
      <c r="F80" s="49" t="e">
        <f t="shared" si="10"/>
        <v>#DIV/0!</v>
      </c>
      <c r="G80" s="52">
        <f t="shared" si="11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8"/>
        <v>0</v>
      </c>
      <c r="D81" s="51">
        <f t="shared" si="9"/>
        <v>0</v>
      </c>
      <c r="E81" s="49">
        <v>79.180000000000007</v>
      </c>
      <c r="F81" s="49" t="e">
        <f t="shared" si="10"/>
        <v>#DIV/0!</v>
      </c>
      <c r="G81" s="52">
        <f t="shared" si="11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8"/>
        <v>0</v>
      </c>
      <c r="D82" s="51">
        <f t="shared" si="9"/>
        <v>0</v>
      </c>
      <c r="E82" s="49">
        <v>79.180000000000007</v>
      </c>
      <c r="F82" s="49" t="e">
        <f t="shared" si="10"/>
        <v>#DIV/0!</v>
      </c>
      <c r="G82" s="52">
        <f t="shared" si="11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8"/>
        <v>0</v>
      </c>
      <c r="D83" s="51">
        <f t="shared" si="9"/>
        <v>0</v>
      </c>
      <c r="E83" s="49">
        <v>79.180000000000007</v>
      </c>
      <c r="F83" s="49" t="e">
        <f t="shared" si="10"/>
        <v>#DIV/0!</v>
      </c>
      <c r="G83" s="52">
        <f t="shared" si="11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8"/>
        <v>0</v>
      </c>
      <c r="D84" s="51">
        <f t="shared" si="9"/>
        <v>0</v>
      </c>
      <c r="E84" s="49">
        <v>79.180000000000007</v>
      </c>
      <c r="F84" s="49" t="e">
        <f t="shared" si="10"/>
        <v>#DIV/0!</v>
      </c>
      <c r="G84" s="52">
        <f t="shared" si="11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8"/>
        <v>0</v>
      </c>
      <c r="D85" s="51">
        <f t="shared" si="9"/>
        <v>0</v>
      </c>
      <c r="E85" s="49">
        <v>79.180000000000007</v>
      </c>
      <c r="F85" s="49" t="e">
        <f t="shared" si="10"/>
        <v>#DIV/0!</v>
      </c>
      <c r="G85" s="52">
        <f t="shared" si="11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8"/>
        <v>0</v>
      </c>
      <c r="D86" s="51">
        <f t="shared" si="9"/>
        <v>0</v>
      </c>
      <c r="E86" s="49">
        <v>79.180000000000007</v>
      </c>
      <c r="F86" s="49" t="e">
        <f t="shared" si="10"/>
        <v>#DIV/0!</v>
      </c>
      <c r="G86" s="52">
        <f t="shared" si="11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ref="C87:C91" si="12">D87/B87</f>
        <v>0</v>
      </c>
      <c r="D87" s="51">
        <f t="shared" si="9"/>
        <v>0</v>
      </c>
      <c r="E87" s="49">
        <v>79.180000000000007</v>
      </c>
      <c r="F87" s="49" t="e">
        <f t="shared" ref="F87:F91" si="13">E87/C87</f>
        <v>#DIV/0!</v>
      </c>
      <c r="G87" s="52">
        <f t="shared" si="11"/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12"/>
        <v>0</v>
      </c>
      <c r="D88" s="51">
        <f t="shared" si="9"/>
        <v>0</v>
      </c>
      <c r="E88" s="49">
        <v>79.180000000000007</v>
      </c>
      <c r="F88" s="49" t="e">
        <f t="shared" si="13"/>
        <v>#DIV/0!</v>
      </c>
      <c r="G88" s="52">
        <f t="shared" si="11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12"/>
        <v>0.22916666666666666</v>
      </c>
      <c r="D89" s="51">
        <f t="shared" si="9"/>
        <v>2.75</v>
      </c>
      <c r="E89" s="49">
        <v>79.180000000000007</v>
      </c>
      <c r="F89" s="49">
        <f t="shared" si="13"/>
        <v>345.51272727272732</v>
      </c>
      <c r="G89" s="52">
        <f t="shared" si="11"/>
        <v>2.8942493895764919E-3</v>
      </c>
      <c r="I89" s="49">
        <v>0</v>
      </c>
      <c r="J89" s="49">
        <v>0</v>
      </c>
      <c r="K89" s="49">
        <v>0.65</v>
      </c>
      <c r="L89" s="49">
        <v>2.1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12"/>
        <v>0</v>
      </c>
      <c r="D90" s="51">
        <f t="shared" si="9"/>
        <v>0</v>
      </c>
      <c r="E90" s="49">
        <v>79.180000000000007</v>
      </c>
      <c r="F90" s="49" t="e">
        <f t="shared" si="13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12"/>
        <v>0</v>
      </c>
      <c r="D91" s="51">
        <f t="shared" si="9"/>
        <v>0</v>
      </c>
      <c r="E91" s="49">
        <v>79.180000000000007</v>
      </c>
      <c r="F91" s="49" t="e">
        <f t="shared" si="13"/>
        <v>#DIV/0!</v>
      </c>
      <c r="G91" s="52">
        <f t="shared" si="11"/>
        <v>0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4">D92/B92</f>
        <v>2.5666666666666669</v>
      </c>
      <c r="D92" s="51">
        <f t="shared" ref="D92:D101" si="15">SUM(I92:T92)</f>
        <v>30.8</v>
      </c>
      <c r="E92" s="49">
        <v>79.180000000000007</v>
      </c>
      <c r="F92" s="49">
        <f t="shared" ref="F92:F101" si="16">E92/C92</f>
        <v>30.849350649350651</v>
      </c>
      <c r="G92" s="52">
        <f t="shared" ref="G92:G101" si="17">C92/E92</f>
        <v>3.2415593163256713E-2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12.8</v>
      </c>
      <c r="P92" s="49">
        <v>9</v>
      </c>
      <c r="Q92" s="49">
        <v>9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4"/>
        <v>0.45</v>
      </c>
      <c r="D93" s="51">
        <f t="shared" si="15"/>
        <v>5.4</v>
      </c>
      <c r="E93" s="49">
        <v>79.180000000000007</v>
      </c>
      <c r="F93" s="49">
        <f t="shared" si="16"/>
        <v>175.95555555555558</v>
      </c>
      <c r="G93" s="52">
        <f t="shared" si="17"/>
        <v>5.6832533468047482E-3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2.4</v>
      </c>
      <c r="T93" s="49">
        <v>3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4"/>
        <v>0.625</v>
      </c>
      <c r="D94" s="51">
        <f t="shared" si="15"/>
        <v>7.5</v>
      </c>
      <c r="E94" s="49">
        <v>79.180000000000007</v>
      </c>
      <c r="F94" s="49">
        <f t="shared" si="16"/>
        <v>126.68800000000002</v>
      </c>
      <c r="G94" s="52">
        <f t="shared" si="17"/>
        <v>7.8934074261177052E-3</v>
      </c>
      <c r="I94" s="49">
        <v>0</v>
      </c>
      <c r="J94" s="49">
        <v>0</v>
      </c>
      <c r="K94" s="49">
        <v>0</v>
      </c>
      <c r="L94" s="49">
        <v>7.5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4"/>
        <v>0.19999999999999998</v>
      </c>
      <c r="D95" s="51">
        <f t="shared" si="15"/>
        <v>2.4</v>
      </c>
      <c r="E95" s="49">
        <v>79.180000000000007</v>
      </c>
      <c r="F95" s="49">
        <f t="shared" si="16"/>
        <v>395.90000000000009</v>
      </c>
      <c r="G95" s="52">
        <f t="shared" si="17"/>
        <v>2.5258903763576658E-3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2.4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4"/>
        <v>5.8333333333333327E-2</v>
      </c>
      <c r="D96" s="51">
        <f t="shared" si="15"/>
        <v>0.7</v>
      </c>
      <c r="E96" s="49">
        <v>79.180000000000007</v>
      </c>
      <c r="F96" s="49">
        <f t="shared" si="16"/>
        <v>1357.3714285714289</v>
      </c>
      <c r="G96" s="52">
        <f t="shared" si="17"/>
        <v>7.3671802643765244E-4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0.7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4"/>
        <v>0</v>
      </c>
      <c r="D97" s="51">
        <f t="shared" si="15"/>
        <v>0</v>
      </c>
      <c r="E97" s="49">
        <v>79.180000000000007</v>
      </c>
      <c r="F97" s="49" t="e">
        <f t="shared" si="16"/>
        <v>#DIV/0!</v>
      </c>
      <c r="G97" s="52">
        <f t="shared" si="17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4"/>
        <v>0.129</v>
      </c>
      <c r="D98" s="51">
        <f t="shared" si="15"/>
        <v>1.548</v>
      </c>
      <c r="E98" s="49">
        <v>79.180000000000007</v>
      </c>
      <c r="F98" s="49">
        <f t="shared" si="16"/>
        <v>613.79844961240315</v>
      </c>
      <c r="G98" s="52">
        <f t="shared" si="17"/>
        <v>1.6291992927506946E-3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1.548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4"/>
        <v>0.17500000000000002</v>
      </c>
      <c r="D99" s="51">
        <f t="shared" si="15"/>
        <v>2.1</v>
      </c>
      <c r="E99" s="49">
        <v>79.180000000000007</v>
      </c>
      <c r="F99" s="49">
        <f t="shared" si="16"/>
        <v>452.45714285714286</v>
      </c>
      <c r="G99" s="52">
        <f t="shared" si="17"/>
        <v>2.2101540793129579E-3</v>
      </c>
      <c r="I99" s="49">
        <v>0</v>
      </c>
      <c r="J99" s="49">
        <v>0</v>
      </c>
      <c r="K99" s="49">
        <v>0</v>
      </c>
      <c r="L99" s="49">
        <v>0</v>
      </c>
      <c r="M99" s="49">
        <v>2.1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4"/>
        <v>0</v>
      </c>
      <c r="D100" s="51">
        <f t="shared" si="15"/>
        <v>0</v>
      </c>
      <c r="E100" s="49">
        <v>79.180000000000007</v>
      </c>
      <c r="F100" s="49" t="e">
        <f t="shared" si="16"/>
        <v>#DIV/0!</v>
      </c>
      <c r="G100" s="52">
        <f t="shared" si="17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4"/>
        <v>0</v>
      </c>
      <c r="D101" s="51">
        <f t="shared" si="15"/>
        <v>0</v>
      </c>
      <c r="E101" s="49">
        <v>79.180000000000007</v>
      </c>
      <c r="F101" s="49" t="e">
        <f t="shared" si="16"/>
        <v>#DIV/0!</v>
      </c>
      <c r="G101" s="52">
        <f t="shared" si="17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2021</v>
      </c>
      <c r="B102" s="50">
        <v>12</v>
      </c>
      <c r="C102" s="51">
        <f t="shared" ref="C102" si="18">D102/B102</f>
        <v>0</v>
      </c>
      <c r="D102" s="51">
        <f t="shared" ref="D102" si="19">SUM(I102:T102)</f>
        <v>0</v>
      </c>
      <c r="E102" s="49">
        <v>79.180000000000007</v>
      </c>
      <c r="F102" s="49" t="e">
        <f t="shared" ref="F102" si="20">E102/C102</f>
        <v>#DIV/0!</v>
      </c>
      <c r="G102" s="52">
        <f t="shared" ref="G102" si="21">C102/E102</f>
        <v>0</v>
      </c>
      <c r="H102" s="40"/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" si="22">D103/B103</f>
        <v>0</v>
      </c>
      <c r="D103" s="51">
        <f t="shared" ref="D103" si="23">SUM(I103:T103)</f>
        <v>0</v>
      </c>
      <c r="E103" s="49">
        <v>79.180000000000007</v>
      </c>
      <c r="F103" s="49" t="e">
        <f t="shared" ref="F103" si="24">E103/C103</f>
        <v>#DIV/0!</v>
      </c>
      <c r="G103" s="52">
        <f t="shared" ref="G103" si="25">C103/E103</f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ref="C104" si="26">D104/B104</f>
        <v>0</v>
      </c>
      <c r="D104" s="51">
        <f t="shared" ref="D104" si="27">SUM(I104:T104)</f>
        <v>0</v>
      </c>
      <c r="E104" s="49">
        <v>79.180000000000007</v>
      </c>
      <c r="F104" s="49" t="e">
        <f t="shared" ref="F104" si="28">E104/C104</f>
        <v>#DIV/0!</v>
      </c>
      <c r="G104" s="52">
        <f t="shared" ref="G104" si="29">C104/E104</f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30">D105/B105</f>
        <v>0</v>
      </c>
      <c r="D105" s="51">
        <f t="shared" ref="D105" si="31">SUM(I105:T105)</f>
        <v>0</v>
      </c>
      <c r="E105" s="49">
        <v>79.180000000000007</v>
      </c>
      <c r="F105" s="49" t="e">
        <f t="shared" ref="F105" si="32">E105/C105</f>
        <v>#DIV/0!</v>
      </c>
      <c r="G105" s="52">
        <f t="shared" ref="G105" si="33">C105/E105</f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ht="15.75" customHeight="1" x14ac:dyDescent="0.25">
      <c r="A106" s="16">
        <v>2025</v>
      </c>
      <c r="B106" s="9">
        <v>12</v>
      </c>
      <c r="C106" s="51">
        <f t="shared" ref="C106" si="34">D106/B106</f>
        <v>0</v>
      </c>
      <c r="D106" s="51">
        <f t="shared" ref="D106" si="35">SUM(I106:T106)</f>
        <v>0</v>
      </c>
      <c r="E106" s="49">
        <v>79.180000000000007</v>
      </c>
      <c r="F106" s="49" t="e">
        <f t="shared" ref="F106" si="36">E106/C106</f>
        <v>#DIV/0!</v>
      </c>
      <c r="G106" s="52">
        <f t="shared" ref="G106" si="37">C106/E106</f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06"/>
  <sheetViews>
    <sheetView zoomScale="80" zoomScaleNormal="80" workbookViewId="0">
      <pane ySplit="1515" topLeftCell="A70" activePane="bottomLeft"/>
      <selection sqref="A1:XFD1048576"/>
      <selection pane="bottomLeft" activeCell="A106" sqref="A106:XFD106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1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5546875" style="56" customWidth="1"/>
    <col min="18" max="18" width="9.109375" style="56"/>
    <col min="19" max="19" width="11.44140625" style="56" customWidth="1"/>
    <col min="20" max="20" width="11.88671875" style="56" customWidth="1"/>
    <col min="21" max="16384" width="9.109375" style="40"/>
  </cols>
  <sheetData>
    <row r="1" spans="1:20" ht="17.25" customHeight="1" x14ac:dyDescent="0.25">
      <c r="A1" s="120" t="s">
        <v>74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7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34" si="0">D3/B3</f>
        <v>4</v>
      </c>
      <c r="D3" s="51">
        <f t="shared" ref="D3:D34" si="1">SUM(I3:T3)</f>
        <v>48</v>
      </c>
      <c r="E3" s="49">
        <v>251.59</v>
      </c>
      <c r="F3" s="49">
        <f t="shared" ref="F3:F34" si="2">E3/C3</f>
        <v>62.897500000000001</v>
      </c>
      <c r="G3" s="52">
        <f t="shared" ref="G3:G34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si="0"/>
        <v>3.2916666666666665</v>
      </c>
      <c r="D23" s="51">
        <f t="shared" si="1"/>
        <v>39.5</v>
      </c>
      <c r="E23" s="49">
        <v>172.4</v>
      </c>
      <c r="F23" s="49">
        <f t="shared" si="2"/>
        <v>52.374683544303799</v>
      </c>
      <c r="G23" s="52">
        <f t="shared" si="3"/>
        <v>1.9093194122196441E-2</v>
      </c>
      <c r="I23" s="49"/>
      <c r="J23" s="49"/>
      <c r="K23" s="49"/>
      <c r="L23" s="49"/>
      <c r="M23" s="49"/>
      <c r="N23" s="49"/>
      <c r="O23" s="49">
        <v>6</v>
      </c>
      <c r="P23" s="49">
        <v>9.1999999999999993</v>
      </c>
      <c r="Q23" s="49">
        <v>12</v>
      </c>
      <c r="R23" s="49">
        <v>11.5</v>
      </c>
      <c r="S23" s="49">
        <v>0.8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0"/>
        <v>2.4416666666666664</v>
      </c>
      <c r="D24" s="51">
        <f t="shared" si="1"/>
        <v>29.299999999999997</v>
      </c>
      <c r="E24" s="49">
        <v>172.4</v>
      </c>
      <c r="F24" s="49">
        <f t="shared" si="2"/>
        <v>70.607508532423211</v>
      </c>
      <c r="G24" s="52">
        <f t="shared" si="3"/>
        <v>1.4162799690641915E-2</v>
      </c>
      <c r="I24" s="49">
        <v>0</v>
      </c>
      <c r="J24" s="49">
        <v>5.7</v>
      </c>
      <c r="K24" s="49">
        <v>6</v>
      </c>
      <c r="L24" s="49">
        <v>2.6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15</v>
      </c>
      <c r="S24" s="49">
        <v>0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0"/>
        <v>0</v>
      </c>
      <c r="D25" s="51">
        <f t="shared" si="1"/>
        <v>0</v>
      </c>
      <c r="E25" s="49">
        <v>172.4</v>
      </c>
      <c r="F25" s="49" t="e">
        <f t="shared" si="2"/>
        <v>#DIV/0!</v>
      </c>
      <c r="G25" s="52">
        <f t="shared" si="3"/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0"/>
        <v>0</v>
      </c>
      <c r="D26" s="51">
        <f t="shared" si="1"/>
        <v>0</v>
      </c>
      <c r="E26" s="49">
        <v>172.4</v>
      </c>
      <c r="F26" s="49" t="e">
        <f t="shared" si="2"/>
        <v>#DIV/0!</v>
      </c>
      <c r="G26" s="52">
        <f t="shared" si="3"/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0"/>
        <v>4.6166666666666671</v>
      </c>
      <c r="D27" s="51">
        <f t="shared" si="1"/>
        <v>55.400000000000006</v>
      </c>
      <c r="E27" s="49">
        <v>172.4</v>
      </c>
      <c r="F27" s="49">
        <f t="shared" si="2"/>
        <v>37.342960288808662</v>
      </c>
      <c r="G27" s="52">
        <f t="shared" si="3"/>
        <v>2.677880897138438E-2</v>
      </c>
      <c r="I27" s="49">
        <v>0</v>
      </c>
      <c r="J27" s="49">
        <v>0</v>
      </c>
      <c r="K27" s="49">
        <v>0</v>
      </c>
      <c r="L27" s="49">
        <v>0</v>
      </c>
      <c r="M27" s="49">
        <v>12.9</v>
      </c>
      <c r="N27" s="49">
        <v>5.4</v>
      </c>
      <c r="O27" s="49">
        <v>0</v>
      </c>
      <c r="P27" s="49">
        <v>0</v>
      </c>
      <c r="Q27" s="49">
        <v>0</v>
      </c>
      <c r="R27" s="49">
        <v>3</v>
      </c>
      <c r="S27" s="49">
        <v>34.1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0"/>
        <v>2.6333333333333333</v>
      </c>
      <c r="D28" s="51">
        <f t="shared" si="1"/>
        <v>31.6</v>
      </c>
      <c r="E28" s="49">
        <v>172.4</v>
      </c>
      <c r="F28" s="49">
        <f t="shared" si="2"/>
        <v>65.468354430379748</v>
      </c>
      <c r="G28" s="52">
        <f t="shared" si="3"/>
        <v>1.5274555297757153E-2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6.9</v>
      </c>
      <c r="S28" s="49">
        <v>24.7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0"/>
        <v>2.5500000000000003</v>
      </c>
      <c r="D29" s="51">
        <f t="shared" si="1"/>
        <v>30.6</v>
      </c>
      <c r="E29" s="49">
        <v>172.4</v>
      </c>
      <c r="F29" s="49">
        <f t="shared" si="2"/>
        <v>67.607843137254903</v>
      </c>
      <c r="G29" s="52">
        <f t="shared" si="3"/>
        <v>1.4791183294663574E-2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14.6</v>
      </c>
      <c r="O29" s="49">
        <v>1.2</v>
      </c>
      <c r="P29" s="49">
        <v>0</v>
      </c>
      <c r="Q29" s="49">
        <v>0</v>
      </c>
      <c r="R29" s="49">
        <v>1.7</v>
      </c>
      <c r="S29" s="49">
        <v>7.1</v>
      </c>
      <c r="T29" s="49">
        <v>6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0"/>
        <v>1.7416666666666665</v>
      </c>
      <c r="D30" s="51">
        <f t="shared" si="1"/>
        <v>20.9</v>
      </c>
      <c r="E30" s="49">
        <v>172.4</v>
      </c>
      <c r="F30" s="49">
        <f t="shared" si="2"/>
        <v>98.985645933014368</v>
      </c>
      <c r="G30" s="52">
        <f t="shared" si="3"/>
        <v>1.0102474864655838E-2</v>
      </c>
      <c r="I30" s="49">
        <v>6</v>
      </c>
      <c r="J30" s="49">
        <v>0.5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14.4</v>
      </c>
      <c r="T30" s="49">
        <v>0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0"/>
        <v>0.19166666666666665</v>
      </c>
      <c r="D31" s="51">
        <f t="shared" si="1"/>
        <v>2.2999999999999998</v>
      </c>
      <c r="E31" s="49">
        <v>172.4</v>
      </c>
      <c r="F31" s="49">
        <f t="shared" si="2"/>
        <v>899.47826086956536</v>
      </c>
      <c r="G31" s="52">
        <f t="shared" si="3"/>
        <v>1.1117556071152358E-3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2.2999999999999998</v>
      </c>
      <c r="S31" s="49">
        <v>0</v>
      </c>
      <c r="T31" s="49">
        <v>0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0"/>
        <v>4.708333333333333</v>
      </c>
      <c r="D32" s="51">
        <f t="shared" si="1"/>
        <v>56.5</v>
      </c>
      <c r="E32" s="49">
        <v>172.4</v>
      </c>
      <c r="F32" s="49">
        <f t="shared" si="2"/>
        <v>36.615929203539828</v>
      </c>
      <c r="G32" s="52">
        <f t="shared" si="3"/>
        <v>2.7310518174787312E-2</v>
      </c>
      <c r="I32" s="49">
        <v>3</v>
      </c>
      <c r="J32" s="49">
        <v>6.7</v>
      </c>
      <c r="K32" s="49">
        <v>1.8</v>
      </c>
      <c r="L32" s="49">
        <v>6.5</v>
      </c>
      <c r="M32" s="49">
        <v>15.8</v>
      </c>
      <c r="N32" s="49">
        <v>6.7</v>
      </c>
      <c r="O32" s="49">
        <v>0</v>
      </c>
      <c r="P32" s="49">
        <v>0</v>
      </c>
      <c r="Q32" s="49">
        <v>0</v>
      </c>
      <c r="R32" s="49">
        <v>0</v>
      </c>
      <c r="S32" s="49">
        <v>16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0"/>
        <v>0.17500000000000002</v>
      </c>
      <c r="D33" s="51">
        <f t="shared" si="1"/>
        <v>2.1</v>
      </c>
      <c r="E33" s="49">
        <v>172.4</v>
      </c>
      <c r="F33" s="49">
        <f t="shared" si="2"/>
        <v>985.14285714285711</v>
      </c>
      <c r="G33" s="52">
        <f t="shared" si="3"/>
        <v>1.0150812064965197E-3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2.1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0"/>
        <v>1.3416666666666668</v>
      </c>
      <c r="D34" s="51">
        <f t="shared" si="1"/>
        <v>16.100000000000001</v>
      </c>
      <c r="E34" s="49">
        <v>172.4</v>
      </c>
      <c r="F34" s="49">
        <f t="shared" si="2"/>
        <v>128.49689440993788</v>
      </c>
      <c r="G34" s="52">
        <f t="shared" si="3"/>
        <v>7.7822892498066515E-3</v>
      </c>
      <c r="I34" s="49">
        <v>0.1</v>
      </c>
      <c r="J34" s="49">
        <v>0.2</v>
      </c>
      <c r="K34" s="49">
        <v>3</v>
      </c>
      <c r="L34" s="49">
        <v>0</v>
      </c>
      <c r="M34" s="49">
        <v>7</v>
      </c>
      <c r="N34" s="49">
        <v>0</v>
      </c>
      <c r="O34" s="49">
        <v>0</v>
      </c>
      <c r="P34" s="49">
        <v>0</v>
      </c>
      <c r="Q34" s="49">
        <v>0.2</v>
      </c>
      <c r="R34" s="49">
        <v>5.6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ref="C35:C57" si="4">D35/B35</f>
        <v>0.42499999999999999</v>
      </c>
      <c r="D35" s="51">
        <f t="shared" ref="D35:D57" si="5">SUM(I35:T35)</f>
        <v>5.0999999999999996</v>
      </c>
      <c r="E35" s="49">
        <v>172.4</v>
      </c>
      <c r="F35" s="49">
        <f t="shared" ref="F35:F57" si="6">E35/C35</f>
        <v>405.64705882352945</v>
      </c>
      <c r="G35" s="52">
        <f t="shared" ref="G35:G57" si="7">C35/E35</f>
        <v>2.4651972157772621E-3</v>
      </c>
      <c r="I35" s="49">
        <v>0</v>
      </c>
      <c r="J35" s="49">
        <v>0</v>
      </c>
      <c r="K35" s="49">
        <v>0</v>
      </c>
      <c r="L35" s="49">
        <v>0</v>
      </c>
      <c r="M35" s="49">
        <v>0.5</v>
      </c>
      <c r="N35" s="49">
        <v>4.5</v>
      </c>
      <c r="O35" s="49">
        <v>0.1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3.1916666666666664</v>
      </c>
      <c r="D36" s="51">
        <f t="shared" si="5"/>
        <v>38.299999999999997</v>
      </c>
      <c r="E36" s="49">
        <v>172.4</v>
      </c>
      <c r="F36" s="49">
        <f t="shared" si="6"/>
        <v>54.015665796344656</v>
      </c>
      <c r="G36" s="52">
        <f t="shared" si="7"/>
        <v>1.8513147718484144E-2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7.3</v>
      </c>
      <c r="T36" s="49">
        <v>31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10.358333333333333</v>
      </c>
      <c r="D37" s="51">
        <f t="shared" si="5"/>
        <v>124.3</v>
      </c>
      <c r="E37" s="49">
        <v>172.4</v>
      </c>
      <c r="F37" s="49">
        <f t="shared" si="6"/>
        <v>16.643604183427193</v>
      </c>
      <c r="G37" s="52">
        <f t="shared" si="7"/>
        <v>6.0083139984532088E-2</v>
      </c>
      <c r="I37" s="49">
        <v>2.1</v>
      </c>
      <c r="J37" s="49">
        <v>0</v>
      </c>
      <c r="K37" s="49">
        <v>0</v>
      </c>
      <c r="L37" s="49">
        <v>0.6</v>
      </c>
      <c r="M37" s="49">
        <v>3.8</v>
      </c>
      <c r="N37" s="49">
        <v>16</v>
      </c>
      <c r="O37" s="49">
        <v>15.4</v>
      </c>
      <c r="P37" s="49">
        <v>17.3</v>
      </c>
      <c r="Q37" s="49">
        <v>39.299999999999997</v>
      </c>
      <c r="R37" s="49">
        <v>14.7</v>
      </c>
      <c r="S37" s="49">
        <v>12.1</v>
      </c>
      <c r="T37" s="49">
        <v>3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0.65833333333333333</v>
      </c>
      <c r="D38" s="51">
        <f t="shared" si="5"/>
        <v>7.9</v>
      </c>
      <c r="E38" s="49">
        <v>172.4</v>
      </c>
      <c r="F38" s="49">
        <f t="shared" si="6"/>
        <v>261.87341772151899</v>
      </c>
      <c r="G38" s="52">
        <f t="shared" si="7"/>
        <v>3.8186388244392882E-3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1.9</v>
      </c>
      <c r="S38" s="49">
        <v>2</v>
      </c>
      <c r="T38" s="49">
        <v>4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12.775</v>
      </c>
      <c r="D39" s="51">
        <f t="shared" si="5"/>
        <v>153.30000000000001</v>
      </c>
      <c r="E39" s="49">
        <v>172.4</v>
      </c>
      <c r="F39" s="49">
        <f t="shared" si="6"/>
        <v>13.495107632093934</v>
      </c>
      <c r="G39" s="52">
        <f t="shared" si="7"/>
        <v>7.4100928074245939E-2</v>
      </c>
      <c r="I39" s="49">
        <v>54.8</v>
      </c>
      <c r="J39" s="49">
        <v>55</v>
      </c>
      <c r="K39" s="49">
        <v>17.8</v>
      </c>
      <c r="L39" s="49">
        <v>5.8</v>
      </c>
      <c r="M39" s="49">
        <v>7</v>
      </c>
      <c r="N39" s="49">
        <v>2.1</v>
      </c>
      <c r="O39" s="49">
        <v>0</v>
      </c>
      <c r="P39" s="49">
        <v>0</v>
      </c>
      <c r="Q39" s="49">
        <v>0</v>
      </c>
      <c r="R39" s="49">
        <v>0</v>
      </c>
      <c r="S39" s="49">
        <v>10.8</v>
      </c>
      <c r="T39" s="49">
        <v>0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6.7833333333333323</v>
      </c>
      <c r="D40" s="51">
        <f t="shared" si="5"/>
        <v>81.399999999999991</v>
      </c>
      <c r="E40" s="49">
        <v>172.4</v>
      </c>
      <c r="F40" s="49">
        <f t="shared" si="6"/>
        <v>25.41523341523342</v>
      </c>
      <c r="G40" s="52">
        <f t="shared" si="7"/>
        <v>3.934648105181747E-2</v>
      </c>
      <c r="I40" s="49">
        <v>0</v>
      </c>
      <c r="J40" s="49">
        <v>0</v>
      </c>
      <c r="K40" s="49">
        <v>15.6</v>
      </c>
      <c r="L40" s="49">
        <v>19</v>
      </c>
      <c r="M40" s="49">
        <v>18.899999999999999</v>
      </c>
      <c r="N40" s="49">
        <v>18.600000000000001</v>
      </c>
      <c r="O40" s="49">
        <v>8.1</v>
      </c>
      <c r="P40" s="49">
        <v>0</v>
      </c>
      <c r="Q40" s="49">
        <v>0</v>
      </c>
      <c r="R40" s="49">
        <v>0</v>
      </c>
      <c r="S40" s="49">
        <v>0</v>
      </c>
      <c r="T40" s="49">
        <v>1.2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2.9500000000000006</v>
      </c>
      <c r="D41" s="51">
        <f t="shared" si="5"/>
        <v>35.400000000000006</v>
      </c>
      <c r="E41" s="49">
        <v>172.4</v>
      </c>
      <c r="F41" s="49">
        <f t="shared" si="6"/>
        <v>58.440677966101681</v>
      </c>
      <c r="G41" s="52">
        <f t="shared" si="7"/>
        <v>1.7111368909512766E-2</v>
      </c>
      <c r="I41" s="49">
        <v>3</v>
      </c>
      <c r="J41" s="49">
        <v>3</v>
      </c>
      <c r="K41" s="49">
        <v>2.4</v>
      </c>
      <c r="L41" s="49">
        <v>3</v>
      </c>
      <c r="M41" s="49">
        <v>3</v>
      </c>
      <c r="N41" s="49">
        <v>3.6</v>
      </c>
      <c r="O41" s="49">
        <v>3.6</v>
      </c>
      <c r="P41" s="49">
        <v>3.6</v>
      </c>
      <c r="Q41" s="49">
        <v>3.6</v>
      </c>
      <c r="R41" s="49">
        <v>4.4000000000000004</v>
      </c>
      <c r="S41" s="49">
        <v>2.2000000000000002</v>
      </c>
      <c r="T41" s="49">
        <v>0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3.9916666666666667</v>
      </c>
      <c r="D42" s="51">
        <f t="shared" si="5"/>
        <v>47.9</v>
      </c>
      <c r="E42" s="49">
        <v>172.4</v>
      </c>
      <c r="F42" s="49">
        <f t="shared" si="6"/>
        <v>43.189979123173281</v>
      </c>
      <c r="G42" s="52">
        <f t="shared" si="7"/>
        <v>2.315351894818252E-2</v>
      </c>
      <c r="I42" s="49">
        <v>0</v>
      </c>
      <c r="J42" s="49">
        <v>0</v>
      </c>
      <c r="K42" s="49">
        <v>0</v>
      </c>
      <c r="L42" s="49">
        <v>0</v>
      </c>
      <c r="M42" s="49">
        <v>2</v>
      </c>
      <c r="N42" s="49">
        <v>2.4</v>
      </c>
      <c r="O42" s="49">
        <v>3.9</v>
      </c>
      <c r="P42" s="49">
        <v>4.8</v>
      </c>
      <c r="Q42" s="49">
        <v>4.8</v>
      </c>
      <c r="R42" s="49">
        <v>10.1</v>
      </c>
      <c r="S42" s="49">
        <v>18.100000000000001</v>
      </c>
      <c r="T42" s="49">
        <v>1.8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3.9333333333333322</v>
      </c>
      <c r="D43" s="51">
        <f t="shared" si="5"/>
        <v>47.199999999999989</v>
      </c>
      <c r="E43" s="49">
        <v>172.4</v>
      </c>
      <c r="F43" s="49">
        <f t="shared" si="6"/>
        <v>43.830508474576284</v>
      </c>
      <c r="G43" s="52">
        <f t="shared" si="7"/>
        <v>2.2815158546017008E-2</v>
      </c>
      <c r="I43" s="49">
        <v>3</v>
      </c>
      <c r="J43" s="49">
        <v>3</v>
      </c>
      <c r="K43" s="49">
        <v>3</v>
      </c>
      <c r="L43" s="49">
        <v>3</v>
      </c>
      <c r="M43" s="49">
        <v>1.3</v>
      </c>
      <c r="N43" s="49">
        <v>0</v>
      </c>
      <c r="O43" s="49">
        <v>0</v>
      </c>
      <c r="P43" s="49">
        <v>0</v>
      </c>
      <c r="Q43" s="49">
        <v>15.1</v>
      </c>
      <c r="R43" s="49">
        <v>15.2</v>
      </c>
      <c r="S43" s="49">
        <v>1.8</v>
      </c>
      <c r="T43" s="49">
        <v>1.8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6.6749999999999998</v>
      </c>
      <c r="D44" s="51">
        <f t="shared" si="5"/>
        <v>80.099999999999994</v>
      </c>
      <c r="E44" s="49">
        <v>172.4</v>
      </c>
      <c r="F44" s="49">
        <f t="shared" si="6"/>
        <v>25.827715355805246</v>
      </c>
      <c r="G44" s="52">
        <f t="shared" si="7"/>
        <v>3.8718097447795821E-2</v>
      </c>
      <c r="I44" s="49">
        <v>3</v>
      </c>
      <c r="J44" s="49">
        <v>3</v>
      </c>
      <c r="K44" s="49">
        <v>2.8</v>
      </c>
      <c r="L44" s="49">
        <v>2.6</v>
      </c>
      <c r="M44" s="49">
        <v>3</v>
      </c>
      <c r="N44" s="49">
        <v>3</v>
      </c>
      <c r="O44" s="49">
        <v>3</v>
      </c>
      <c r="P44" s="49">
        <v>3</v>
      </c>
      <c r="Q44" s="49">
        <v>3</v>
      </c>
      <c r="R44" s="49">
        <v>25.3</v>
      </c>
      <c r="S44" s="49">
        <v>28.4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9.1666666666666674E-2</v>
      </c>
      <c r="D45" s="51">
        <f t="shared" si="5"/>
        <v>1.1000000000000001</v>
      </c>
      <c r="E45" s="49">
        <v>172.4</v>
      </c>
      <c r="F45" s="49">
        <f t="shared" si="6"/>
        <v>1880.7272727272727</v>
      </c>
      <c r="G45" s="52">
        <f t="shared" si="7"/>
        <v>5.3170920340293892E-4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1.1000000000000001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11.916666666666666</v>
      </c>
      <c r="D46" s="51">
        <f t="shared" si="5"/>
        <v>143</v>
      </c>
      <c r="E46" s="49">
        <v>172.4</v>
      </c>
      <c r="F46" s="49">
        <f t="shared" si="6"/>
        <v>14.467132867132868</v>
      </c>
      <c r="G46" s="52">
        <f t="shared" si="7"/>
        <v>6.9122196442382058E-2</v>
      </c>
      <c r="I46" s="49">
        <v>0</v>
      </c>
      <c r="J46" s="49">
        <v>0</v>
      </c>
      <c r="K46" s="49">
        <v>0.5</v>
      </c>
      <c r="L46" s="49">
        <v>5.2</v>
      </c>
      <c r="M46" s="49">
        <v>0</v>
      </c>
      <c r="N46" s="49">
        <v>0</v>
      </c>
      <c r="O46" s="49">
        <v>0</v>
      </c>
      <c r="P46" s="49">
        <v>36.1</v>
      </c>
      <c r="Q46" s="49">
        <v>56.7</v>
      </c>
      <c r="R46" s="49">
        <v>44.5</v>
      </c>
      <c r="S46" s="49">
        <v>0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0.57500000000000007</v>
      </c>
      <c r="D47" s="51">
        <f t="shared" si="5"/>
        <v>6.9</v>
      </c>
      <c r="E47" s="49">
        <v>172.4</v>
      </c>
      <c r="F47" s="49">
        <f t="shared" si="6"/>
        <v>299.82608695652169</v>
      </c>
      <c r="G47" s="52">
        <f t="shared" si="7"/>
        <v>3.335266821345708E-3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1.2</v>
      </c>
      <c r="R47" s="49">
        <v>5.7</v>
      </c>
      <c r="S47" s="49">
        <v>0</v>
      </c>
      <c r="T47" s="49">
        <v>0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8.3333333333333329E-2</v>
      </c>
      <c r="D48" s="51">
        <f t="shared" si="5"/>
        <v>1</v>
      </c>
      <c r="E48" s="49">
        <v>172.4</v>
      </c>
      <c r="F48" s="49">
        <f t="shared" si="6"/>
        <v>2068.8000000000002</v>
      </c>
      <c r="G48" s="52">
        <f t="shared" si="7"/>
        <v>4.8337200309358076E-4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1</v>
      </c>
      <c r="S48" s="49">
        <v>0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2.8916666666666662</v>
      </c>
      <c r="D49" s="51">
        <f t="shared" si="5"/>
        <v>34.699999999999996</v>
      </c>
      <c r="E49" s="49">
        <v>172.4</v>
      </c>
      <c r="F49" s="49">
        <f t="shared" si="6"/>
        <v>59.619596541786755</v>
      </c>
      <c r="G49" s="52">
        <f t="shared" si="7"/>
        <v>1.677300850734725E-2</v>
      </c>
      <c r="I49" s="49">
        <v>29.4</v>
      </c>
      <c r="J49" s="49">
        <v>2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0.8</v>
      </c>
      <c r="T49" s="49">
        <v>2.5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8.0666666666666682</v>
      </c>
      <c r="D50" s="51">
        <f t="shared" si="5"/>
        <v>96.800000000000011</v>
      </c>
      <c r="E50" s="49">
        <v>172.4</v>
      </c>
      <c r="F50" s="49">
        <f t="shared" si="6"/>
        <v>21.371900826446279</v>
      </c>
      <c r="G50" s="52">
        <f t="shared" si="7"/>
        <v>4.6790409899458631E-2</v>
      </c>
      <c r="I50" s="49">
        <v>0</v>
      </c>
      <c r="J50" s="49">
        <v>0</v>
      </c>
      <c r="K50" s="49">
        <v>10.7</v>
      </c>
      <c r="L50" s="49">
        <v>11</v>
      </c>
      <c r="M50" s="49">
        <v>9.9</v>
      </c>
      <c r="N50" s="49">
        <v>8</v>
      </c>
      <c r="O50" s="49">
        <v>8</v>
      </c>
      <c r="P50" s="49">
        <v>7.3</v>
      </c>
      <c r="Q50" s="49">
        <v>11</v>
      </c>
      <c r="R50" s="49">
        <v>10</v>
      </c>
      <c r="S50" s="49">
        <v>10</v>
      </c>
      <c r="T50" s="49">
        <v>10.9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0.48333333333333334</v>
      </c>
      <c r="D51" s="51">
        <f t="shared" si="5"/>
        <v>5.8</v>
      </c>
      <c r="E51" s="49">
        <v>172.4</v>
      </c>
      <c r="F51" s="49">
        <f t="shared" si="6"/>
        <v>356.68965517241378</v>
      </c>
      <c r="G51" s="52">
        <f t="shared" si="7"/>
        <v>2.8035576179427685E-3</v>
      </c>
      <c r="I51" s="49">
        <v>5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0.8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0.73333333333333339</v>
      </c>
      <c r="D52" s="51">
        <f t="shared" si="5"/>
        <v>8.8000000000000007</v>
      </c>
      <c r="E52" s="49">
        <v>172.4</v>
      </c>
      <c r="F52" s="49">
        <f t="shared" si="6"/>
        <v>235.09090909090909</v>
      </c>
      <c r="G52" s="52">
        <f t="shared" si="7"/>
        <v>4.2536736272235113E-3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3.8</v>
      </c>
      <c r="T52" s="49">
        <v>5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5.1749999999999998</v>
      </c>
      <c r="D53" s="51">
        <f t="shared" si="5"/>
        <v>62.099999999999994</v>
      </c>
      <c r="E53" s="49">
        <v>172.4</v>
      </c>
      <c r="F53" s="49">
        <f t="shared" si="6"/>
        <v>33.314009661835748</v>
      </c>
      <c r="G53" s="52">
        <f t="shared" si="7"/>
        <v>3.0017401392111367E-2</v>
      </c>
      <c r="I53" s="49">
        <v>4.8</v>
      </c>
      <c r="J53" s="49">
        <v>4.9000000000000004</v>
      </c>
      <c r="K53" s="49">
        <v>5.6</v>
      </c>
      <c r="L53" s="49">
        <v>6</v>
      </c>
      <c r="M53" s="49">
        <v>6</v>
      </c>
      <c r="N53" s="49">
        <v>6</v>
      </c>
      <c r="O53" s="49">
        <v>6</v>
      </c>
      <c r="P53" s="49">
        <v>6</v>
      </c>
      <c r="Q53" s="49">
        <v>0</v>
      </c>
      <c r="R53" s="49">
        <v>5.8</v>
      </c>
      <c r="S53" s="49">
        <v>6.2</v>
      </c>
      <c r="T53" s="49">
        <v>4.8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5.5750000000000002</v>
      </c>
      <c r="D54" s="51">
        <f t="shared" si="5"/>
        <v>66.900000000000006</v>
      </c>
      <c r="E54" s="49">
        <v>172.4</v>
      </c>
      <c r="F54" s="49">
        <f t="shared" si="6"/>
        <v>30.923766816143498</v>
      </c>
      <c r="G54" s="52">
        <f t="shared" si="7"/>
        <v>3.2337587006960558E-2</v>
      </c>
      <c r="I54" s="49">
        <v>5</v>
      </c>
      <c r="J54" s="49">
        <v>5</v>
      </c>
      <c r="K54" s="49">
        <v>5.7</v>
      </c>
      <c r="L54" s="49">
        <v>6</v>
      </c>
      <c r="M54" s="49">
        <v>6</v>
      </c>
      <c r="N54" s="49">
        <v>6</v>
      </c>
      <c r="O54" s="49">
        <v>5.8</v>
      </c>
      <c r="P54" s="49">
        <v>6</v>
      </c>
      <c r="Q54" s="49">
        <v>6</v>
      </c>
      <c r="R54" s="49">
        <v>5.7</v>
      </c>
      <c r="S54" s="49">
        <v>4.7</v>
      </c>
      <c r="T54" s="49">
        <v>5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si="4"/>
        <v>5.875</v>
      </c>
      <c r="D55" s="51">
        <f t="shared" si="5"/>
        <v>70.5</v>
      </c>
      <c r="E55" s="49">
        <v>172.4</v>
      </c>
      <c r="F55" s="49">
        <f t="shared" si="6"/>
        <v>29.344680851063831</v>
      </c>
      <c r="G55" s="52">
        <f t="shared" si="7"/>
        <v>3.4077726218097446E-2</v>
      </c>
      <c r="I55" s="49">
        <v>5</v>
      </c>
      <c r="J55" s="49">
        <v>5.4</v>
      </c>
      <c r="K55" s="49">
        <v>6</v>
      </c>
      <c r="L55" s="49">
        <v>6</v>
      </c>
      <c r="M55" s="49">
        <v>6</v>
      </c>
      <c r="N55" s="49">
        <v>6.2</v>
      </c>
      <c r="O55" s="49">
        <v>6</v>
      </c>
      <c r="P55" s="49">
        <v>6</v>
      </c>
      <c r="Q55" s="49">
        <v>6</v>
      </c>
      <c r="R55" s="49">
        <v>4.0999999999999996</v>
      </c>
      <c r="S55" s="49">
        <v>4.8</v>
      </c>
      <c r="T55" s="49">
        <v>9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4"/>
        <v>0.31666666666666665</v>
      </c>
      <c r="D56" s="51">
        <f t="shared" si="5"/>
        <v>3.8</v>
      </c>
      <c r="E56" s="49">
        <v>172.4</v>
      </c>
      <c r="F56" s="49">
        <f t="shared" si="6"/>
        <v>544.42105263157896</v>
      </c>
      <c r="G56" s="52">
        <f t="shared" si="7"/>
        <v>1.836813611755607E-3</v>
      </c>
      <c r="I56" s="49">
        <v>2.6</v>
      </c>
      <c r="J56" s="49">
        <v>0</v>
      </c>
      <c r="K56" s="49">
        <v>1.2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4"/>
        <v>0.42499999999999999</v>
      </c>
      <c r="D57" s="51">
        <f t="shared" si="5"/>
        <v>5.0999999999999996</v>
      </c>
      <c r="E57" s="49">
        <v>172.4</v>
      </c>
      <c r="F57" s="49">
        <f t="shared" si="6"/>
        <v>405.64705882352945</v>
      </c>
      <c r="G57" s="52">
        <f t="shared" si="7"/>
        <v>2.4651972157772621E-3</v>
      </c>
      <c r="I57" s="49">
        <v>0</v>
      </c>
      <c r="J57" s="49">
        <v>0</v>
      </c>
      <c r="K57" s="49">
        <v>0</v>
      </c>
      <c r="L57" s="49">
        <v>1.1000000000000001</v>
      </c>
      <c r="M57" s="49">
        <v>4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172.4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172.4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172.4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172.4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172.4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ref="C63" si="8">D63/B63</f>
        <v>0</v>
      </c>
      <c r="D63" s="51">
        <f>SUM(I63:T63)</f>
        <v>0</v>
      </c>
      <c r="E63" s="49">
        <v>172.4</v>
      </c>
      <c r="F63" s="49" t="e">
        <f>E63/C63</f>
        <v>#DIV/0!</v>
      </c>
      <c r="G63" s="52">
        <f>C63/E63</f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>D64/B64</f>
        <v>0</v>
      </c>
      <c r="D64" s="51">
        <f>SUM(I64:T64)</f>
        <v>0</v>
      </c>
      <c r="E64" s="49">
        <v>172.4</v>
      </c>
      <c r="F64" s="49" t="e">
        <f>E64/C64</f>
        <v>#DIV/0!</v>
      </c>
      <c r="G64" s="52">
        <f>C64/E64</f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ref="C65:C91" si="9">D65/B65</f>
        <v>1.3333333333333333</v>
      </c>
      <c r="D65" s="51">
        <f t="shared" ref="D65:D91" si="10">SUM(I65:T65)</f>
        <v>16</v>
      </c>
      <c r="E65" s="49">
        <v>172.4</v>
      </c>
      <c r="F65" s="49">
        <f t="shared" ref="F65:F91" si="11">E65/C65</f>
        <v>129.30000000000001</v>
      </c>
      <c r="G65" s="52">
        <f t="shared" ref="G65:G91" si="12">C65/E65</f>
        <v>7.7339520494972922E-3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8</v>
      </c>
      <c r="T65" s="49">
        <v>8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9"/>
        <v>8</v>
      </c>
      <c r="D66" s="51">
        <f t="shared" si="10"/>
        <v>96</v>
      </c>
      <c r="E66" s="49">
        <v>172.4</v>
      </c>
      <c r="F66" s="49">
        <f t="shared" si="11"/>
        <v>21.55</v>
      </c>
      <c r="G66" s="52">
        <f t="shared" si="12"/>
        <v>4.6403712296983757E-2</v>
      </c>
      <c r="I66" s="49">
        <v>8</v>
      </c>
      <c r="J66" s="49">
        <v>8</v>
      </c>
      <c r="K66" s="49">
        <v>8</v>
      </c>
      <c r="L66" s="49">
        <v>8</v>
      </c>
      <c r="M66" s="49">
        <v>8</v>
      </c>
      <c r="N66" s="49">
        <v>8</v>
      </c>
      <c r="O66" s="49">
        <v>8</v>
      </c>
      <c r="P66" s="49">
        <v>8</v>
      </c>
      <c r="Q66" s="49">
        <v>8</v>
      </c>
      <c r="R66" s="49">
        <v>8</v>
      </c>
      <c r="S66" s="49">
        <v>8</v>
      </c>
      <c r="T66" s="49">
        <v>8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9"/>
        <v>8</v>
      </c>
      <c r="D67" s="51">
        <f t="shared" si="10"/>
        <v>96</v>
      </c>
      <c r="E67" s="49">
        <v>172.4</v>
      </c>
      <c r="F67" s="49">
        <f t="shared" si="11"/>
        <v>21.55</v>
      </c>
      <c r="G67" s="52">
        <f t="shared" si="12"/>
        <v>4.6403712296983757E-2</v>
      </c>
      <c r="I67" s="49">
        <v>8</v>
      </c>
      <c r="J67" s="49">
        <v>8</v>
      </c>
      <c r="K67" s="49">
        <v>8</v>
      </c>
      <c r="L67" s="49">
        <v>8</v>
      </c>
      <c r="M67" s="49">
        <v>8</v>
      </c>
      <c r="N67" s="49">
        <v>8</v>
      </c>
      <c r="O67" s="49">
        <v>8</v>
      </c>
      <c r="P67" s="49">
        <v>8</v>
      </c>
      <c r="Q67" s="49">
        <v>8</v>
      </c>
      <c r="R67" s="49">
        <v>8</v>
      </c>
      <c r="S67" s="49">
        <v>8</v>
      </c>
      <c r="T67" s="49">
        <v>8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9"/>
        <v>6.666666666666667</v>
      </c>
      <c r="D68" s="51">
        <f t="shared" si="10"/>
        <v>80</v>
      </c>
      <c r="E68" s="49">
        <v>172.4</v>
      </c>
      <c r="F68" s="49">
        <f t="shared" si="11"/>
        <v>25.86</v>
      </c>
      <c r="G68" s="52">
        <f t="shared" si="12"/>
        <v>3.8669760247486466E-2</v>
      </c>
      <c r="I68" s="49">
        <v>8</v>
      </c>
      <c r="J68" s="49">
        <v>8</v>
      </c>
      <c r="K68" s="49">
        <v>8</v>
      </c>
      <c r="L68" s="49">
        <v>8</v>
      </c>
      <c r="M68" s="49">
        <v>8</v>
      </c>
      <c r="N68" s="49">
        <v>8</v>
      </c>
      <c r="O68" s="49">
        <v>8</v>
      </c>
      <c r="P68" s="49">
        <v>8</v>
      </c>
      <c r="Q68" s="49">
        <v>8</v>
      </c>
      <c r="R68" s="49">
        <v>8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9"/>
        <v>1.3333333333333333</v>
      </c>
      <c r="D69" s="51">
        <f t="shared" si="10"/>
        <v>16</v>
      </c>
      <c r="E69" s="49">
        <v>172.4</v>
      </c>
      <c r="F69" s="49">
        <f t="shared" si="11"/>
        <v>129.30000000000001</v>
      </c>
      <c r="G69" s="52">
        <f t="shared" si="12"/>
        <v>7.7339520494972922E-3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8</v>
      </c>
      <c r="T69" s="49">
        <v>8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9"/>
        <v>7.833333333333333</v>
      </c>
      <c r="D70" s="51">
        <f t="shared" si="10"/>
        <v>94</v>
      </c>
      <c r="E70" s="49">
        <v>172.4</v>
      </c>
      <c r="F70" s="49">
        <f t="shared" si="11"/>
        <v>22.008510638297874</v>
      </c>
      <c r="G70" s="52">
        <f t="shared" si="12"/>
        <v>4.5436968290796596E-2</v>
      </c>
      <c r="I70" s="49">
        <v>8</v>
      </c>
      <c r="J70" s="49">
        <v>8</v>
      </c>
      <c r="K70" s="49">
        <v>8</v>
      </c>
      <c r="L70" s="49">
        <v>8</v>
      </c>
      <c r="M70" s="49">
        <v>8</v>
      </c>
      <c r="N70" s="49">
        <v>8</v>
      </c>
      <c r="O70" s="49">
        <v>8</v>
      </c>
      <c r="P70" s="49">
        <v>8</v>
      </c>
      <c r="Q70" s="49">
        <v>8</v>
      </c>
      <c r="R70" s="49">
        <v>8</v>
      </c>
      <c r="S70" s="49">
        <v>7</v>
      </c>
      <c r="T70" s="49">
        <v>7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9"/>
        <v>7.5</v>
      </c>
      <c r="D71" s="51">
        <f t="shared" si="10"/>
        <v>90</v>
      </c>
      <c r="E71" s="49">
        <v>172.4</v>
      </c>
      <c r="F71" s="49">
        <f t="shared" si="11"/>
        <v>22.986666666666668</v>
      </c>
      <c r="G71" s="52">
        <f t="shared" si="12"/>
        <v>4.3503480278422275E-2</v>
      </c>
      <c r="I71" s="49">
        <v>7</v>
      </c>
      <c r="J71" s="49">
        <v>7</v>
      </c>
      <c r="K71" s="49">
        <v>7</v>
      </c>
      <c r="L71" s="49">
        <v>7</v>
      </c>
      <c r="M71" s="49">
        <v>7</v>
      </c>
      <c r="N71" s="49">
        <v>7</v>
      </c>
      <c r="O71" s="49">
        <v>7</v>
      </c>
      <c r="P71" s="49">
        <v>7</v>
      </c>
      <c r="Q71" s="49">
        <v>7</v>
      </c>
      <c r="R71" s="49">
        <v>7</v>
      </c>
      <c r="S71" s="49">
        <v>10</v>
      </c>
      <c r="T71" s="49">
        <v>10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9"/>
        <v>10</v>
      </c>
      <c r="D72" s="51">
        <f t="shared" si="10"/>
        <v>120</v>
      </c>
      <c r="E72" s="49">
        <v>172.4</v>
      </c>
      <c r="F72" s="49">
        <f t="shared" si="11"/>
        <v>17.240000000000002</v>
      </c>
      <c r="G72" s="52">
        <f t="shared" si="12"/>
        <v>5.8004640371229696E-2</v>
      </c>
      <c r="I72" s="49">
        <v>10</v>
      </c>
      <c r="J72" s="49">
        <v>10</v>
      </c>
      <c r="K72" s="49">
        <v>10</v>
      </c>
      <c r="L72" s="49">
        <v>10</v>
      </c>
      <c r="M72" s="49">
        <v>10</v>
      </c>
      <c r="N72" s="49">
        <v>10</v>
      </c>
      <c r="O72" s="49">
        <v>10</v>
      </c>
      <c r="P72" s="49">
        <v>10</v>
      </c>
      <c r="Q72" s="49">
        <v>10</v>
      </c>
      <c r="R72" s="49">
        <v>10</v>
      </c>
      <c r="S72" s="49">
        <v>10</v>
      </c>
      <c r="T72" s="49">
        <v>10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9"/>
        <v>10.833333333333334</v>
      </c>
      <c r="D73" s="51">
        <f t="shared" si="10"/>
        <v>130</v>
      </c>
      <c r="E73" s="49">
        <v>172.4</v>
      </c>
      <c r="F73" s="49">
        <f t="shared" si="11"/>
        <v>15.913846153846153</v>
      </c>
      <c r="G73" s="52">
        <f t="shared" si="12"/>
        <v>6.2838360402165505E-2</v>
      </c>
      <c r="I73" s="49">
        <v>10</v>
      </c>
      <c r="J73" s="49">
        <v>10</v>
      </c>
      <c r="K73" s="49">
        <v>10</v>
      </c>
      <c r="L73" s="49">
        <v>10</v>
      </c>
      <c r="M73" s="49">
        <v>10</v>
      </c>
      <c r="N73" s="49">
        <v>10</v>
      </c>
      <c r="O73" s="49">
        <v>10</v>
      </c>
      <c r="P73" s="49">
        <v>10</v>
      </c>
      <c r="Q73" s="49">
        <v>10</v>
      </c>
      <c r="R73" s="49">
        <v>10</v>
      </c>
      <c r="S73" s="49">
        <v>15</v>
      </c>
      <c r="T73" s="49">
        <v>15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9"/>
        <v>15.166666666666666</v>
      </c>
      <c r="D74" s="51">
        <f t="shared" si="10"/>
        <v>182</v>
      </c>
      <c r="E74" s="49">
        <v>172.4</v>
      </c>
      <c r="F74" s="49">
        <f t="shared" si="11"/>
        <v>11.367032967032968</v>
      </c>
      <c r="G74" s="52">
        <f t="shared" si="12"/>
        <v>8.7973704563031704E-2</v>
      </c>
      <c r="I74" s="49">
        <v>15</v>
      </c>
      <c r="J74" s="49">
        <v>15</v>
      </c>
      <c r="K74" s="49">
        <v>16.5</v>
      </c>
      <c r="L74" s="49">
        <v>16.5</v>
      </c>
      <c r="M74" s="49">
        <v>16.5</v>
      </c>
      <c r="N74" s="49">
        <v>16.5</v>
      </c>
      <c r="O74" s="49">
        <v>16.5</v>
      </c>
      <c r="P74" s="49">
        <v>16.5</v>
      </c>
      <c r="Q74" s="49">
        <v>16.5</v>
      </c>
      <c r="R74" s="49">
        <v>16.5</v>
      </c>
      <c r="S74" s="49">
        <v>10</v>
      </c>
      <c r="T74" s="49">
        <v>10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9"/>
        <v>10.25</v>
      </c>
      <c r="D75" s="51">
        <f t="shared" si="10"/>
        <v>123</v>
      </c>
      <c r="E75" s="49">
        <v>172.4</v>
      </c>
      <c r="F75" s="49">
        <f t="shared" si="11"/>
        <v>16.819512195121952</v>
      </c>
      <c r="G75" s="52">
        <f t="shared" si="12"/>
        <v>5.945475638051044E-2</v>
      </c>
      <c r="I75" s="49">
        <v>10</v>
      </c>
      <c r="J75" s="49">
        <v>10</v>
      </c>
      <c r="K75" s="49">
        <v>10</v>
      </c>
      <c r="L75" s="49">
        <v>10</v>
      </c>
      <c r="M75" s="49">
        <v>10</v>
      </c>
      <c r="N75" s="49">
        <v>10</v>
      </c>
      <c r="O75" s="49">
        <v>10</v>
      </c>
      <c r="P75" s="49">
        <v>10</v>
      </c>
      <c r="Q75" s="49">
        <v>10</v>
      </c>
      <c r="R75" s="49">
        <v>10</v>
      </c>
      <c r="S75" s="49">
        <v>11.5</v>
      </c>
      <c r="T75" s="49">
        <v>11.5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9"/>
        <v>9.5833333333333339</v>
      </c>
      <c r="D76" s="51">
        <f t="shared" si="10"/>
        <v>115</v>
      </c>
      <c r="E76" s="49">
        <v>172.4</v>
      </c>
      <c r="F76" s="49">
        <f t="shared" si="11"/>
        <v>17.989565217391302</v>
      </c>
      <c r="G76" s="52">
        <f t="shared" si="12"/>
        <v>5.5587780355761798E-2</v>
      </c>
      <c r="I76" s="49">
        <v>11.5</v>
      </c>
      <c r="J76" s="49">
        <v>11.5</v>
      </c>
      <c r="K76" s="49">
        <v>11.5</v>
      </c>
      <c r="L76" s="49">
        <v>11.5</v>
      </c>
      <c r="M76" s="49">
        <v>11.5</v>
      </c>
      <c r="N76" s="49">
        <v>11.5</v>
      </c>
      <c r="O76" s="49">
        <v>11.5</v>
      </c>
      <c r="P76" s="49">
        <v>11.5</v>
      </c>
      <c r="Q76" s="49">
        <v>11.5</v>
      </c>
      <c r="R76" s="49">
        <v>11.5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9"/>
        <v>1.6666666666666667</v>
      </c>
      <c r="D77" s="51">
        <f t="shared" si="10"/>
        <v>20</v>
      </c>
      <c r="E77" s="49">
        <v>85.66</v>
      </c>
      <c r="F77" s="49">
        <f t="shared" si="11"/>
        <v>51.395999999999994</v>
      </c>
      <c r="G77" s="52">
        <f t="shared" si="12"/>
        <v>1.9456767063584717E-2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10</v>
      </c>
      <c r="T77" s="49">
        <v>10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9"/>
        <v>8.3333333333333339</v>
      </c>
      <c r="D78" s="51">
        <f t="shared" si="10"/>
        <v>100</v>
      </c>
      <c r="E78" s="49">
        <v>85.66</v>
      </c>
      <c r="F78" s="49">
        <f t="shared" si="11"/>
        <v>10.279199999999999</v>
      </c>
      <c r="G78" s="52">
        <f t="shared" si="12"/>
        <v>9.7283835317923589E-2</v>
      </c>
      <c r="I78" s="49">
        <v>10</v>
      </c>
      <c r="J78" s="49">
        <v>10</v>
      </c>
      <c r="K78" s="49">
        <v>10</v>
      </c>
      <c r="L78" s="49">
        <v>10</v>
      </c>
      <c r="M78" s="49">
        <v>10</v>
      </c>
      <c r="N78" s="49">
        <v>10</v>
      </c>
      <c r="O78" s="49">
        <v>10</v>
      </c>
      <c r="P78" s="49">
        <v>10</v>
      </c>
      <c r="Q78" s="49">
        <v>10</v>
      </c>
      <c r="R78" s="49">
        <v>10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9"/>
        <v>1.6666666666666667</v>
      </c>
      <c r="D79" s="51">
        <f t="shared" si="10"/>
        <v>20</v>
      </c>
      <c r="E79" s="49">
        <v>85.66</v>
      </c>
      <c r="F79" s="49">
        <f t="shared" si="11"/>
        <v>51.395999999999994</v>
      </c>
      <c r="G79" s="52">
        <f t="shared" si="12"/>
        <v>1.9456767063584717E-2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10</v>
      </c>
      <c r="T79" s="49">
        <v>10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9"/>
        <v>8.3333333333333339</v>
      </c>
      <c r="D80" s="51">
        <f t="shared" si="10"/>
        <v>100</v>
      </c>
      <c r="E80" s="49">
        <v>85.66</v>
      </c>
      <c r="F80" s="49">
        <f t="shared" si="11"/>
        <v>10.279199999999999</v>
      </c>
      <c r="G80" s="52">
        <f t="shared" si="12"/>
        <v>9.7283835317923589E-2</v>
      </c>
      <c r="I80" s="49">
        <v>10</v>
      </c>
      <c r="J80" s="49">
        <v>10</v>
      </c>
      <c r="K80" s="49">
        <v>10</v>
      </c>
      <c r="L80" s="49">
        <v>10</v>
      </c>
      <c r="M80" s="49">
        <v>10</v>
      </c>
      <c r="N80" s="49">
        <v>10</v>
      </c>
      <c r="O80" s="49">
        <v>10</v>
      </c>
      <c r="P80" s="49">
        <v>10</v>
      </c>
      <c r="Q80" s="49">
        <v>10</v>
      </c>
      <c r="R80" s="49">
        <v>10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9"/>
        <v>1.6666666666666667</v>
      </c>
      <c r="D81" s="51">
        <f t="shared" si="10"/>
        <v>20</v>
      </c>
      <c r="E81" s="49">
        <v>85.66</v>
      </c>
      <c r="F81" s="49">
        <f t="shared" si="11"/>
        <v>51.395999999999994</v>
      </c>
      <c r="G81" s="52">
        <f t="shared" si="12"/>
        <v>1.9456767063584717E-2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10</v>
      </c>
      <c r="T81" s="49">
        <v>10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9"/>
        <v>10</v>
      </c>
      <c r="D82" s="51">
        <f t="shared" si="10"/>
        <v>120</v>
      </c>
      <c r="E82" s="49">
        <v>85.66</v>
      </c>
      <c r="F82" s="49">
        <f t="shared" si="11"/>
        <v>8.5659999999999989</v>
      </c>
      <c r="G82" s="52">
        <f t="shared" si="12"/>
        <v>0.1167406023815083</v>
      </c>
      <c r="I82" s="49">
        <v>10</v>
      </c>
      <c r="J82" s="49">
        <v>10</v>
      </c>
      <c r="K82" s="49">
        <v>10</v>
      </c>
      <c r="L82" s="49">
        <v>10</v>
      </c>
      <c r="M82" s="49">
        <v>10</v>
      </c>
      <c r="N82" s="49">
        <v>10</v>
      </c>
      <c r="O82" s="49">
        <v>10</v>
      </c>
      <c r="P82" s="49">
        <v>10</v>
      </c>
      <c r="Q82" s="49">
        <v>10</v>
      </c>
      <c r="R82" s="49">
        <v>10</v>
      </c>
      <c r="S82" s="49">
        <v>10</v>
      </c>
      <c r="T82" s="49">
        <v>10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9"/>
        <v>10.833333333333334</v>
      </c>
      <c r="D83" s="51">
        <f t="shared" si="10"/>
        <v>130</v>
      </c>
      <c r="E83" s="49">
        <v>85.66</v>
      </c>
      <c r="F83" s="49">
        <f t="shared" si="11"/>
        <v>7.9070769230769224</v>
      </c>
      <c r="G83" s="52">
        <f t="shared" si="12"/>
        <v>0.12646898591330066</v>
      </c>
      <c r="I83" s="49">
        <v>10</v>
      </c>
      <c r="J83" s="49">
        <v>10</v>
      </c>
      <c r="K83" s="49">
        <v>10</v>
      </c>
      <c r="L83" s="49">
        <v>10</v>
      </c>
      <c r="M83" s="49">
        <v>10</v>
      </c>
      <c r="N83" s="49">
        <v>10</v>
      </c>
      <c r="O83" s="49">
        <v>10</v>
      </c>
      <c r="P83" s="49">
        <v>10</v>
      </c>
      <c r="Q83" s="49">
        <v>10</v>
      </c>
      <c r="R83" s="49">
        <v>10</v>
      </c>
      <c r="S83" s="49">
        <v>15</v>
      </c>
      <c r="T83" s="49">
        <v>15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9"/>
        <v>15</v>
      </c>
      <c r="D84" s="51">
        <f t="shared" si="10"/>
        <v>180</v>
      </c>
      <c r="E84" s="49">
        <v>85.66</v>
      </c>
      <c r="F84" s="49">
        <f t="shared" si="11"/>
        <v>5.7106666666666666</v>
      </c>
      <c r="G84" s="52">
        <f t="shared" si="12"/>
        <v>0.17511090357226244</v>
      </c>
      <c r="I84" s="49">
        <v>15</v>
      </c>
      <c r="J84" s="49">
        <v>15</v>
      </c>
      <c r="K84" s="49">
        <v>15</v>
      </c>
      <c r="L84" s="49">
        <v>15</v>
      </c>
      <c r="M84" s="49">
        <v>15</v>
      </c>
      <c r="N84" s="49">
        <v>15</v>
      </c>
      <c r="O84" s="49">
        <v>15</v>
      </c>
      <c r="P84" s="49">
        <v>15</v>
      </c>
      <c r="Q84" s="49">
        <v>15</v>
      </c>
      <c r="R84" s="49">
        <v>15</v>
      </c>
      <c r="S84" s="49">
        <v>15</v>
      </c>
      <c r="T84" s="49">
        <v>15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9"/>
        <v>15</v>
      </c>
      <c r="D85" s="51">
        <f t="shared" si="10"/>
        <v>180</v>
      </c>
      <c r="E85" s="49">
        <v>85.66</v>
      </c>
      <c r="F85" s="49">
        <f t="shared" si="11"/>
        <v>5.7106666666666666</v>
      </c>
      <c r="G85" s="52">
        <f t="shared" si="12"/>
        <v>0.17511090357226244</v>
      </c>
      <c r="I85" s="49">
        <v>15</v>
      </c>
      <c r="J85" s="49">
        <v>15</v>
      </c>
      <c r="K85" s="49">
        <v>15</v>
      </c>
      <c r="L85" s="49">
        <v>15</v>
      </c>
      <c r="M85" s="49">
        <v>15</v>
      </c>
      <c r="N85" s="49">
        <v>15</v>
      </c>
      <c r="O85" s="49">
        <v>15</v>
      </c>
      <c r="P85" s="49">
        <v>15</v>
      </c>
      <c r="Q85" s="49">
        <v>15</v>
      </c>
      <c r="R85" s="49">
        <v>15</v>
      </c>
      <c r="S85" s="49">
        <v>15</v>
      </c>
      <c r="T85" s="49">
        <v>15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9"/>
        <v>12.5</v>
      </c>
      <c r="D86" s="51">
        <f t="shared" si="10"/>
        <v>150</v>
      </c>
      <c r="E86" s="49">
        <v>85.66</v>
      </c>
      <c r="F86" s="49">
        <f t="shared" si="11"/>
        <v>6.8527999999999993</v>
      </c>
      <c r="G86" s="52">
        <f t="shared" si="12"/>
        <v>0.14592575297688537</v>
      </c>
      <c r="I86" s="49">
        <v>15</v>
      </c>
      <c r="J86" s="49">
        <v>15</v>
      </c>
      <c r="K86" s="49">
        <v>15</v>
      </c>
      <c r="L86" s="49">
        <v>15</v>
      </c>
      <c r="M86" s="49">
        <v>15</v>
      </c>
      <c r="N86" s="49">
        <v>15</v>
      </c>
      <c r="O86" s="49">
        <v>15</v>
      </c>
      <c r="P86" s="49">
        <v>15</v>
      </c>
      <c r="Q86" s="49">
        <v>15</v>
      </c>
      <c r="R86" s="49">
        <v>15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si="9"/>
        <v>1.45</v>
      </c>
      <c r="D87" s="51">
        <f t="shared" si="10"/>
        <v>17.399999999999999</v>
      </c>
      <c r="E87" s="49">
        <v>85.66</v>
      </c>
      <c r="F87" s="49">
        <f t="shared" si="11"/>
        <v>59.075862068965513</v>
      </c>
      <c r="G87" s="52">
        <f t="shared" si="12"/>
        <v>1.6927387345318703E-2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17.399999999999999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9"/>
        <v>0.20833333333333334</v>
      </c>
      <c r="D88" s="51">
        <f t="shared" si="10"/>
        <v>2.5</v>
      </c>
      <c r="E88" s="49">
        <v>85.66</v>
      </c>
      <c r="F88" s="49">
        <f t="shared" si="11"/>
        <v>411.16799999999995</v>
      </c>
      <c r="G88" s="52">
        <f t="shared" si="12"/>
        <v>2.4320958829480896E-3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2.5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9"/>
        <v>2.8275000000000001</v>
      </c>
      <c r="D89" s="51">
        <f t="shared" si="10"/>
        <v>33.93</v>
      </c>
      <c r="E89" s="49">
        <v>85.66</v>
      </c>
      <c r="F89" s="49">
        <f t="shared" si="11"/>
        <v>30.295313881520777</v>
      </c>
      <c r="G89" s="52">
        <f t="shared" si="12"/>
        <v>3.3008405323371473E-2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25.16</v>
      </c>
      <c r="Q89" s="49">
        <v>0</v>
      </c>
      <c r="R89" s="49">
        <v>0</v>
      </c>
      <c r="S89" s="49">
        <v>0</v>
      </c>
      <c r="T89" s="49">
        <v>8.77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9"/>
        <v>2.5108333333333333</v>
      </c>
      <c r="D90" s="51">
        <f t="shared" si="10"/>
        <v>30.13</v>
      </c>
      <c r="E90" s="49">
        <v>85.66</v>
      </c>
      <c r="F90" s="49">
        <f t="shared" si="11"/>
        <v>34.116163292399598</v>
      </c>
      <c r="G90" s="52">
        <f t="shared" si="12"/>
        <v>2.9311619581290374E-2</v>
      </c>
      <c r="I90" s="49">
        <v>24.13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6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9"/>
        <v>2.7416666666666667</v>
      </c>
      <c r="D91" s="51">
        <f t="shared" si="10"/>
        <v>32.9</v>
      </c>
      <c r="E91" s="49">
        <v>85.66</v>
      </c>
      <c r="F91" s="49">
        <f t="shared" si="11"/>
        <v>31.243768996960483</v>
      </c>
      <c r="G91" s="52">
        <f t="shared" si="12"/>
        <v>3.2006381819596856E-2</v>
      </c>
      <c r="I91" s="49">
        <v>0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32.9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3">D92/B92</f>
        <v>0</v>
      </c>
      <c r="D92" s="51">
        <f t="shared" ref="D92:D101" si="14">SUM(I92:T92)</f>
        <v>0</v>
      </c>
      <c r="E92" s="49">
        <v>85.66</v>
      </c>
      <c r="F92" s="49" t="e">
        <f t="shared" ref="F92:F101" si="15">E92/C92</f>
        <v>#DIV/0!</v>
      </c>
      <c r="G92" s="52">
        <f t="shared" ref="G92:G101" si="16">C92/E92</f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3"/>
        <v>0</v>
      </c>
      <c r="D93" s="51">
        <f t="shared" si="14"/>
        <v>0</v>
      </c>
      <c r="E93" s="49">
        <v>85.66</v>
      </c>
      <c r="F93" s="49" t="e">
        <f t="shared" si="15"/>
        <v>#DIV/0!</v>
      </c>
      <c r="G93" s="52">
        <f t="shared" si="16"/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3"/>
        <v>1.9000000000000001</v>
      </c>
      <c r="D94" s="51">
        <f t="shared" si="14"/>
        <v>22.8</v>
      </c>
      <c r="E94" s="49">
        <v>85.66</v>
      </c>
      <c r="F94" s="49">
        <f t="shared" si="15"/>
        <v>45.084210526315786</v>
      </c>
      <c r="G94" s="52">
        <f t="shared" si="16"/>
        <v>2.2180714452486577E-2</v>
      </c>
      <c r="I94" s="49">
        <v>0</v>
      </c>
      <c r="J94" s="49">
        <v>0</v>
      </c>
      <c r="K94" s="49">
        <v>13.5</v>
      </c>
      <c r="L94" s="49">
        <v>9.3000000000000007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3"/>
        <v>3.5749999999999997</v>
      </c>
      <c r="D95" s="51">
        <f t="shared" si="14"/>
        <v>42.9</v>
      </c>
      <c r="E95" s="49">
        <v>85.66</v>
      </c>
      <c r="F95" s="49">
        <f t="shared" si="15"/>
        <v>23.960839160839161</v>
      </c>
      <c r="G95" s="52">
        <f t="shared" si="16"/>
        <v>4.1734765351389209E-2</v>
      </c>
      <c r="I95" s="49">
        <v>25.4</v>
      </c>
      <c r="J95" s="49">
        <v>17.5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3"/>
        <v>2.5249999999999999</v>
      </c>
      <c r="D96" s="51">
        <f t="shared" si="14"/>
        <v>30.3</v>
      </c>
      <c r="E96" s="49">
        <v>85.66</v>
      </c>
      <c r="F96" s="49">
        <f t="shared" si="15"/>
        <v>33.924752475247523</v>
      </c>
      <c r="G96" s="52">
        <f t="shared" si="16"/>
        <v>2.9477002101330842E-2</v>
      </c>
      <c r="I96" s="49">
        <v>0</v>
      </c>
      <c r="J96" s="49">
        <v>3</v>
      </c>
      <c r="K96" s="49">
        <v>24.7</v>
      </c>
      <c r="L96" s="49">
        <v>0</v>
      </c>
      <c r="M96" s="49">
        <v>0</v>
      </c>
      <c r="N96" s="49">
        <v>0</v>
      </c>
      <c r="O96" s="49">
        <v>2.6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3"/>
        <v>0.22750000000000001</v>
      </c>
      <c r="D97" s="51">
        <f t="shared" si="14"/>
        <v>2.73</v>
      </c>
      <c r="E97" s="49">
        <v>85.66</v>
      </c>
      <c r="F97" s="49">
        <f t="shared" si="15"/>
        <v>376.52747252747253</v>
      </c>
      <c r="G97" s="52">
        <f t="shared" si="16"/>
        <v>2.655848704179314E-3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2.73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3"/>
        <v>2.6558333333333333</v>
      </c>
      <c r="D98" s="51">
        <f t="shared" si="14"/>
        <v>31.87</v>
      </c>
      <c r="E98" s="49">
        <v>85.66</v>
      </c>
      <c r="F98" s="49">
        <f t="shared" si="15"/>
        <v>32.25352996548478</v>
      </c>
      <c r="G98" s="52">
        <f t="shared" si="16"/>
        <v>3.1004358315822243E-2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31.87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3"/>
        <v>2.5833333333333335</v>
      </c>
      <c r="D99" s="51">
        <f t="shared" si="14"/>
        <v>31</v>
      </c>
      <c r="E99" s="49">
        <v>85.66</v>
      </c>
      <c r="F99" s="49">
        <f t="shared" si="15"/>
        <v>33.158709677419353</v>
      </c>
      <c r="G99" s="52">
        <f t="shared" si="16"/>
        <v>3.015798894855631E-2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31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3"/>
        <v>1.2916666666666667</v>
      </c>
      <c r="D100" s="51">
        <f t="shared" si="14"/>
        <v>15.5</v>
      </c>
      <c r="E100" s="49">
        <v>85.66</v>
      </c>
      <c r="F100" s="49">
        <f t="shared" si="15"/>
        <v>66.317419354838705</v>
      </c>
      <c r="G100" s="52">
        <f t="shared" si="16"/>
        <v>1.5078994474278155E-2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12.9</v>
      </c>
      <c r="P100" s="49">
        <v>2.6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3"/>
        <v>1.2416666666666667</v>
      </c>
      <c r="D101" s="51">
        <f t="shared" si="14"/>
        <v>14.9</v>
      </c>
      <c r="E101" s="49">
        <v>85.66</v>
      </c>
      <c r="F101" s="49">
        <f t="shared" si="15"/>
        <v>68.987919463087238</v>
      </c>
      <c r="G101" s="52">
        <f t="shared" si="16"/>
        <v>1.4495291462370613E-2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14.9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2021</v>
      </c>
      <c r="B102" s="50">
        <v>12</v>
      </c>
      <c r="C102" s="51">
        <f t="shared" ref="C102" si="17">D102/B102</f>
        <v>0.91666666666666663</v>
      </c>
      <c r="D102" s="51">
        <f t="shared" ref="D102" si="18">SUM(I102:T102)</f>
        <v>11</v>
      </c>
      <c r="E102" s="49">
        <v>85.66</v>
      </c>
      <c r="F102" s="49">
        <f t="shared" ref="F102" si="19">E102/C102</f>
        <v>93.447272727272733</v>
      </c>
      <c r="G102" s="52">
        <f t="shared" ref="G102" si="20">C102/E102</f>
        <v>1.0701221884971593E-2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11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" si="21">D103/B103</f>
        <v>0</v>
      </c>
      <c r="D103" s="51">
        <f t="shared" ref="D103" si="22">SUM(I103:T103)</f>
        <v>0</v>
      </c>
      <c r="E103" s="49">
        <v>85.66</v>
      </c>
      <c r="F103" s="49" t="e">
        <f t="shared" ref="F103" si="23">E103/C103</f>
        <v>#DIV/0!</v>
      </c>
      <c r="G103" s="52">
        <f t="shared" ref="G103" si="24">C103/E103</f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ref="C104" si="25">D104/B104</f>
        <v>0.53333333333333333</v>
      </c>
      <c r="D104" s="51">
        <f t="shared" ref="D104" si="26">SUM(I104:T104)</f>
        <v>6.4</v>
      </c>
      <c r="E104" s="49">
        <v>85.66</v>
      </c>
      <c r="F104" s="49">
        <f t="shared" ref="F104" si="27">E104/C104</f>
        <v>160.61249999999998</v>
      </c>
      <c r="G104" s="52">
        <f t="shared" ref="G104" si="28">C104/E104</f>
        <v>6.226165460347109E-3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6.4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29">D105/B105</f>
        <v>2.1774193548387095</v>
      </c>
      <c r="D105" s="51">
        <f t="shared" ref="D105" si="30">SUM(I105:T105)</f>
        <v>26.129032258064516</v>
      </c>
      <c r="E105" s="49">
        <v>85.66</v>
      </c>
      <c r="F105" s="49">
        <f t="shared" ref="F105" si="31">E105/C105</f>
        <v>39.340148148148153</v>
      </c>
      <c r="G105" s="52">
        <f t="shared" ref="G105" si="32">C105/E105</f>
        <v>2.541932471210261E-2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26.129032258064516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ht="15.75" customHeight="1" x14ac:dyDescent="0.25">
      <c r="A106" s="16">
        <v>2025</v>
      </c>
      <c r="B106" s="9">
        <v>12</v>
      </c>
      <c r="C106" s="51">
        <f t="shared" ref="C106" si="33">D106/B106</f>
        <v>0</v>
      </c>
      <c r="D106" s="51">
        <f t="shared" ref="D106" si="34">SUM(I106:T106)</f>
        <v>0</v>
      </c>
      <c r="E106" s="49">
        <v>85.66</v>
      </c>
      <c r="F106" s="49" t="e">
        <f t="shared" ref="F106" si="35">E106/C106</f>
        <v>#DIV/0!</v>
      </c>
      <c r="G106" s="52">
        <f t="shared" ref="G106" si="36">C106/E106</f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106"/>
  <sheetViews>
    <sheetView zoomScale="80" zoomScaleNormal="80" workbookViewId="0">
      <pane ySplit="1440" topLeftCell="A70" activePane="bottomLeft"/>
      <selection activeCell="L2" sqref="L2"/>
      <selection pane="bottomLeft" activeCell="A106" sqref="A106:XFD106"/>
    </sheetView>
  </sheetViews>
  <sheetFormatPr defaultColWidth="9.109375" defaultRowHeight="15.75" customHeight="1" x14ac:dyDescent="0.25"/>
  <cols>
    <col min="1" max="2" width="9.109375" style="40"/>
    <col min="3" max="4" width="9.109375" style="55"/>
    <col min="5" max="5" width="10.66406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" style="56" customWidth="1"/>
    <col min="11" max="16" width="9.109375" style="56"/>
    <col min="17" max="17" width="12.44140625" style="56" bestFit="1" customWidth="1"/>
    <col min="18" max="18" width="9.109375" style="56"/>
    <col min="19" max="19" width="11.33203125" style="56" customWidth="1"/>
    <col min="20" max="20" width="11.88671875" style="56" bestFit="1" customWidth="1"/>
    <col min="21" max="16384" width="9.109375" style="40"/>
  </cols>
  <sheetData>
    <row r="1" spans="1:20" ht="15" x14ac:dyDescent="0.25">
      <c r="A1" s="120" t="s">
        <v>75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" t="s">
        <v>55</v>
      </c>
      <c r="C2" s="5" t="s">
        <v>56</v>
      </c>
      <c r="D2" s="5" t="s">
        <v>15</v>
      </c>
      <c r="E2" s="6" t="s">
        <v>53</v>
      </c>
      <c r="F2" s="6" t="s">
        <v>16</v>
      </c>
      <c r="G2" s="7" t="s">
        <v>54</v>
      </c>
      <c r="H2" s="9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50">
        <v>1922</v>
      </c>
      <c r="B3" s="50">
        <v>12</v>
      </c>
      <c r="C3" s="51">
        <f t="shared" ref="C3:C21" si="0">D3/B3</f>
        <v>4</v>
      </c>
      <c r="D3" s="51">
        <f t="shared" ref="D3:D21" si="1">SUM(I3:T3)</f>
        <v>48</v>
      </c>
      <c r="E3" s="49">
        <v>251.59</v>
      </c>
      <c r="F3" s="49">
        <f t="shared" ref="F3:F21" si="2">E3/C3</f>
        <v>62.897500000000001</v>
      </c>
      <c r="G3" s="52">
        <f t="shared" ref="G3:G21" si="3">C3/E3</f>
        <v>1.5898883103461981E-2</v>
      </c>
      <c r="I3" s="49"/>
      <c r="J3" s="49"/>
      <c r="K3" s="49"/>
      <c r="L3" s="49"/>
      <c r="M3" s="49"/>
      <c r="N3" s="49"/>
      <c r="O3" s="49">
        <v>8</v>
      </c>
      <c r="P3" s="49">
        <v>8</v>
      </c>
      <c r="Q3" s="49">
        <v>8</v>
      </c>
      <c r="R3" s="49">
        <v>8</v>
      </c>
      <c r="S3" s="49">
        <v>8</v>
      </c>
      <c r="T3" s="49">
        <v>8</v>
      </c>
    </row>
    <row r="4" spans="1:20" s="53" customFormat="1" ht="15.75" customHeight="1" x14ac:dyDescent="0.25">
      <c r="A4" s="50">
        <v>1923</v>
      </c>
      <c r="B4" s="50">
        <v>12</v>
      </c>
      <c r="C4" s="51">
        <f t="shared" si="0"/>
        <v>17.733333333333334</v>
      </c>
      <c r="D4" s="51">
        <f t="shared" si="1"/>
        <v>212.8</v>
      </c>
      <c r="E4" s="49">
        <v>251.59</v>
      </c>
      <c r="F4" s="49">
        <f t="shared" si="2"/>
        <v>14.187406015037594</v>
      </c>
      <c r="G4" s="52">
        <f t="shared" si="3"/>
        <v>7.0485048425348126E-2</v>
      </c>
      <c r="I4" s="49">
        <v>8</v>
      </c>
      <c r="J4" s="49">
        <v>8</v>
      </c>
      <c r="K4" s="49">
        <v>8</v>
      </c>
      <c r="L4" s="49">
        <v>11</v>
      </c>
      <c r="M4" s="49">
        <v>23</v>
      </c>
      <c r="N4" s="49">
        <v>22.8</v>
      </c>
      <c r="O4" s="49">
        <v>22</v>
      </c>
      <c r="P4" s="49">
        <v>22</v>
      </c>
      <c r="Q4" s="49">
        <v>22</v>
      </c>
      <c r="R4" s="49">
        <v>22</v>
      </c>
      <c r="S4" s="49">
        <v>22</v>
      </c>
      <c r="T4" s="49">
        <v>22</v>
      </c>
    </row>
    <row r="5" spans="1:20" s="53" customFormat="1" ht="15.75" customHeight="1" x14ac:dyDescent="0.25">
      <c r="A5" s="50">
        <v>1924</v>
      </c>
      <c r="B5" s="50">
        <v>12</v>
      </c>
      <c r="C5" s="51">
        <f t="shared" si="0"/>
        <v>28.7</v>
      </c>
      <c r="D5" s="51">
        <f t="shared" si="1"/>
        <v>344.4</v>
      </c>
      <c r="E5" s="49">
        <v>251.59</v>
      </c>
      <c r="F5" s="49">
        <f t="shared" si="2"/>
        <v>8.7662020905923352</v>
      </c>
      <c r="G5" s="52">
        <f t="shared" si="3"/>
        <v>0.11407448626733971</v>
      </c>
      <c r="I5" s="49">
        <v>22</v>
      </c>
      <c r="J5" s="49">
        <v>22</v>
      </c>
      <c r="K5" s="49">
        <v>22</v>
      </c>
      <c r="L5" s="49">
        <v>22</v>
      </c>
      <c r="M5" s="49">
        <v>22</v>
      </c>
      <c r="N5" s="49">
        <v>22</v>
      </c>
      <c r="O5" s="49">
        <v>41</v>
      </c>
      <c r="P5" s="49">
        <v>41</v>
      </c>
      <c r="Q5" s="49">
        <v>41</v>
      </c>
      <c r="R5" s="49">
        <v>41</v>
      </c>
      <c r="S5" s="49">
        <v>26.4</v>
      </c>
      <c r="T5" s="49">
        <v>22</v>
      </c>
    </row>
    <row r="6" spans="1:20" s="53" customFormat="1" ht="15.75" customHeight="1" x14ac:dyDescent="0.25">
      <c r="A6" s="50">
        <v>1925</v>
      </c>
      <c r="B6" s="50">
        <v>12</v>
      </c>
      <c r="C6" s="51">
        <f t="shared" si="0"/>
        <v>10.375</v>
      </c>
      <c r="D6" s="51">
        <f t="shared" si="1"/>
        <v>124.5</v>
      </c>
      <c r="E6" s="49">
        <v>251.59</v>
      </c>
      <c r="F6" s="49">
        <f t="shared" si="2"/>
        <v>24.249638554216869</v>
      </c>
      <c r="G6" s="52">
        <f t="shared" si="3"/>
        <v>4.1237728049604516E-2</v>
      </c>
      <c r="I6" s="49">
        <v>22</v>
      </c>
      <c r="J6" s="49">
        <v>22</v>
      </c>
      <c r="K6" s="49">
        <v>22</v>
      </c>
      <c r="L6" s="49">
        <v>22</v>
      </c>
      <c r="M6" s="49">
        <v>18.5</v>
      </c>
      <c r="N6" s="49">
        <v>18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spans="1:20" s="53" customFormat="1" ht="15.75" customHeight="1" x14ac:dyDescent="0.25">
      <c r="A7" s="50">
        <v>1926</v>
      </c>
      <c r="B7" s="50">
        <v>12</v>
      </c>
      <c r="C7" s="51">
        <f t="shared" si="0"/>
        <v>1.0416666666666667</v>
      </c>
      <c r="D7" s="51">
        <f t="shared" si="1"/>
        <v>12.5</v>
      </c>
      <c r="E7" s="49">
        <v>251.59</v>
      </c>
      <c r="F7" s="49">
        <f t="shared" si="2"/>
        <v>241.5264</v>
      </c>
      <c r="G7" s="52">
        <f t="shared" si="3"/>
        <v>4.1403341415265577E-3</v>
      </c>
      <c r="I7" s="49">
        <v>0</v>
      </c>
      <c r="J7" s="49">
        <v>0</v>
      </c>
      <c r="K7" s="49">
        <v>0</v>
      </c>
      <c r="L7" s="49">
        <v>6.4</v>
      </c>
      <c r="M7" s="49">
        <v>6.1</v>
      </c>
      <c r="N7" s="49">
        <v>0</v>
      </c>
      <c r="O7" s="49"/>
      <c r="P7" s="49"/>
      <c r="Q7" s="49"/>
      <c r="R7" s="49"/>
      <c r="S7" s="49"/>
      <c r="T7" s="49"/>
    </row>
    <row r="8" spans="1:20" s="53" customFormat="1" ht="15.75" customHeight="1" x14ac:dyDescent="0.25">
      <c r="A8" s="50">
        <v>1927</v>
      </c>
      <c r="B8" s="50">
        <v>12</v>
      </c>
      <c r="C8" s="51">
        <f t="shared" si="0"/>
        <v>9.0833333333333339</v>
      </c>
      <c r="D8" s="51">
        <f t="shared" si="1"/>
        <v>109</v>
      </c>
      <c r="E8" s="49">
        <v>251.59</v>
      </c>
      <c r="F8" s="49">
        <f t="shared" si="2"/>
        <v>27.697981651376146</v>
      </c>
      <c r="G8" s="52">
        <f t="shared" si="3"/>
        <v>3.6103713714111585E-2</v>
      </c>
      <c r="I8" s="49"/>
      <c r="J8" s="49"/>
      <c r="K8" s="49"/>
      <c r="L8" s="49"/>
      <c r="M8" s="49"/>
      <c r="N8" s="49"/>
      <c r="O8" s="49">
        <v>0</v>
      </c>
      <c r="P8" s="49">
        <v>4.0999999999999996</v>
      </c>
      <c r="Q8" s="49">
        <v>0</v>
      </c>
      <c r="R8" s="49">
        <v>0.3</v>
      </c>
      <c r="S8" s="49">
        <v>0</v>
      </c>
      <c r="T8" s="49">
        <v>104.6</v>
      </c>
    </row>
    <row r="9" spans="1:20" s="53" customFormat="1" ht="15.75" customHeight="1" x14ac:dyDescent="0.25">
      <c r="A9" s="50">
        <v>1928</v>
      </c>
      <c r="B9" s="50">
        <v>12</v>
      </c>
      <c r="C9" s="51">
        <f t="shared" si="0"/>
        <v>9.625</v>
      </c>
      <c r="D9" s="51">
        <f t="shared" si="1"/>
        <v>115.5</v>
      </c>
      <c r="E9" s="49">
        <v>251.59</v>
      </c>
      <c r="F9" s="49">
        <f t="shared" si="2"/>
        <v>26.139220779220778</v>
      </c>
      <c r="G9" s="52">
        <f t="shared" si="3"/>
        <v>3.8256687467705393E-2</v>
      </c>
      <c r="I9" s="49">
        <v>18.100000000000001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1.4</v>
      </c>
      <c r="Q9" s="49">
        <v>4</v>
      </c>
      <c r="R9" s="49">
        <v>92</v>
      </c>
      <c r="S9" s="49">
        <v>0</v>
      </c>
      <c r="T9" s="49">
        <v>0</v>
      </c>
    </row>
    <row r="10" spans="1:20" s="53" customFormat="1" ht="15.75" customHeight="1" x14ac:dyDescent="0.25">
      <c r="A10" s="50">
        <v>1929</v>
      </c>
      <c r="B10" s="50">
        <v>12</v>
      </c>
      <c r="C10" s="51">
        <f t="shared" si="0"/>
        <v>13.424999999999999</v>
      </c>
      <c r="D10" s="51">
        <f t="shared" si="1"/>
        <v>161.1</v>
      </c>
      <c r="E10" s="49">
        <v>251.59</v>
      </c>
      <c r="F10" s="49">
        <f t="shared" si="2"/>
        <v>18.740409683426446</v>
      </c>
      <c r="G10" s="52">
        <f t="shared" si="3"/>
        <v>5.3360626415994268E-2</v>
      </c>
      <c r="I10" s="49">
        <v>13.2</v>
      </c>
      <c r="J10" s="49">
        <v>0</v>
      </c>
      <c r="K10" s="49">
        <v>0</v>
      </c>
      <c r="L10" s="49">
        <v>0.4</v>
      </c>
      <c r="M10" s="49">
        <v>16.100000000000001</v>
      </c>
      <c r="N10" s="49">
        <v>0</v>
      </c>
      <c r="O10" s="49">
        <v>0</v>
      </c>
      <c r="P10" s="49">
        <v>0</v>
      </c>
      <c r="Q10" s="49">
        <v>0</v>
      </c>
      <c r="R10" s="49">
        <v>19.899999999999999</v>
      </c>
      <c r="S10" s="49">
        <v>111.5</v>
      </c>
      <c r="T10" s="49">
        <v>0</v>
      </c>
    </row>
    <row r="11" spans="1:20" s="53" customFormat="1" ht="15.75" customHeight="1" x14ac:dyDescent="0.25">
      <c r="A11" s="50">
        <v>1930</v>
      </c>
      <c r="B11" s="50">
        <v>12</v>
      </c>
      <c r="C11" s="51">
        <f t="shared" si="0"/>
        <v>9.4749999999999996</v>
      </c>
      <c r="D11" s="51">
        <f t="shared" si="1"/>
        <v>113.7</v>
      </c>
      <c r="E11" s="49">
        <v>251.59</v>
      </c>
      <c r="F11" s="49">
        <f t="shared" si="2"/>
        <v>26.553034300791559</v>
      </c>
      <c r="G11" s="52">
        <f t="shared" si="3"/>
        <v>3.766047935132557E-2</v>
      </c>
      <c r="I11" s="49">
        <v>0</v>
      </c>
      <c r="J11" s="49">
        <v>0</v>
      </c>
      <c r="K11" s="49">
        <v>0</v>
      </c>
      <c r="L11" s="49">
        <v>0</v>
      </c>
      <c r="M11" s="49">
        <v>9</v>
      </c>
      <c r="N11" s="49">
        <v>3.4</v>
      </c>
      <c r="O11" s="49">
        <v>2.5</v>
      </c>
      <c r="P11" s="49">
        <v>6.3</v>
      </c>
      <c r="Q11" s="49">
        <v>8</v>
      </c>
      <c r="R11" s="49">
        <v>63.1</v>
      </c>
      <c r="S11" s="49">
        <v>14.4</v>
      </c>
      <c r="T11" s="49">
        <v>7</v>
      </c>
    </row>
    <row r="12" spans="1:20" s="53" customFormat="1" ht="15.75" customHeight="1" x14ac:dyDescent="0.25">
      <c r="A12" s="50">
        <v>1931</v>
      </c>
      <c r="B12" s="50">
        <v>12</v>
      </c>
      <c r="C12" s="51">
        <f t="shared" si="0"/>
        <v>12.916666666666666</v>
      </c>
      <c r="D12" s="51">
        <f t="shared" si="1"/>
        <v>155</v>
      </c>
      <c r="E12" s="49">
        <v>251.59</v>
      </c>
      <c r="F12" s="49">
        <f t="shared" si="2"/>
        <v>19.477935483870969</v>
      </c>
      <c r="G12" s="52">
        <f t="shared" si="3"/>
        <v>5.1340143354929313E-2</v>
      </c>
      <c r="I12" s="49">
        <v>0.9</v>
      </c>
      <c r="J12" s="49">
        <v>0</v>
      </c>
      <c r="K12" s="49">
        <v>0</v>
      </c>
      <c r="L12" s="49">
        <v>12.3</v>
      </c>
      <c r="M12" s="49">
        <v>19.399999999999999</v>
      </c>
      <c r="N12" s="49">
        <v>2</v>
      </c>
      <c r="O12" s="49">
        <v>19.899999999999999</v>
      </c>
      <c r="P12" s="49">
        <v>22.7</v>
      </c>
      <c r="Q12" s="49">
        <v>4</v>
      </c>
      <c r="R12" s="49">
        <v>33.9</v>
      </c>
      <c r="S12" s="49">
        <v>37.9</v>
      </c>
      <c r="T12" s="49">
        <v>2</v>
      </c>
    </row>
    <row r="13" spans="1:20" s="53" customFormat="1" ht="15.75" customHeight="1" x14ac:dyDescent="0.25">
      <c r="A13" s="50">
        <v>1932</v>
      </c>
      <c r="B13" s="50">
        <v>12</v>
      </c>
      <c r="C13" s="51">
        <f t="shared" si="0"/>
        <v>17.658333333333335</v>
      </c>
      <c r="D13" s="51">
        <f t="shared" si="1"/>
        <v>211.90000000000003</v>
      </c>
      <c r="E13" s="49">
        <v>251.59</v>
      </c>
      <c r="F13" s="49">
        <f t="shared" si="2"/>
        <v>14.247663992449267</v>
      </c>
      <c r="G13" s="52">
        <f t="shared" si="3"/>
        <v>7.0186944367158208E-2</v>
      </c>
      <c r="I13" s="49">
        <v>19.100000000000001</v>
      </c>
      <c r="J13" s="49">
        <v>2.9</v>
      </c>
      <c r="K13" s="49">
        <v>7.4</v>
      </c>
      <c r="L13" s="49">
        <v>24.6</v>
      </c>
      <c r="M13" s="49">
        <v>5.7</v>
      </c>
      <c r="N13" s="49">
        <v>2</v>
      </c>
      <c r="O13" s="49">
        <v>23.6</v>
      </c>
      <c r="P13" s="49">
        <v>4</v>
      </c>
      <c r="Q13" s="49">
        <v>4</v>
      </c>
      <c r="R13" s="49">
        <v>24.4</v>
      </c>
      <c r="S13" s="49">
        <v>94.2</v>
      </c>
      <c r="T13" s="49">
        <v>0</v>
      </c>
    </row>
    <row r="14" spans="1:20" s="53" customFormat="1" ht="15.75" customHeight="1" x14ac:dyDescent="0.25">
      <c r="A14" s="50">
        <v>1933</v>
      </c>
      <c r="B14" s="50">
        <v>12</v>
      </c>
      <c r="C14" s="51">
        <f t="shared" si="0"/>
        <v>24.125000000000004</v>
      </c>
      <c r="D14" s="51">
        <f t="shared" si="1"/>
        <v>289.50000000000006</v>
      </c>
      <c r="E14" s="49">
        <v>251.59</v>
      </c>
      <c r="F14" s="49">
        <f t="shared" si="2"/>
        <v>10.428601036269429</v>
      </c>
      <c r="G14" s="52">
        <f t="shared" si="3"/>
        <v>9.5890138717755091E-2</v>
      </c>
      <c r="I14" s="49">
        <v>0</v>
      </c>
      <c r="J14" s="49">
        <v>0</v>
      </c>
      <c r="K14" s="49">
        <v>10.4</v>
      </c>
      <c r="L14" s="49">
        <v>0</v>
      </c>
      <c r="M14" s="49">
        <v>17.399999999999999</v>
      </c>
      <c r="N14" s="49">
        <v>24</v>
      </c>
      <c r="O14" s="49">
        <v>12.4</v>
      </c>
      <c r="P14" s="49">
        <v>7</v>
      </c>
      <c r="Q14" s="49">
        <v>9.1999999999999993</v>
      </c>
      <c r="R14" s="49">
        <v>191.3</v>
      </c>
      <c r="S14" s="49">
        <v>10.1</v>
      </c>
      <c r="T14" s="49">
        <v>7.7</v>
      </c>
    </row>
    <row r="15" spans="1:20" s="53" customFormat="1" ht="15.75" customHeight="1" x14ac:dyDescent="0.25">
      <c r="A15" s="50">
        <v>1934</v>
      </c>
      <c r="B15" s="50">
        <v>12</v>
      </c>
      <c r="C15" s="51">
        <f t="shared" si="0"/>
        <v>7.95</v>
      </c>
      <c r="D15" s="51">
        <f t="shared" si="1"/>
        <v>95.4</v>
      </c>
      <c r="E15" s="49">
        <v>251.59</v>
      </c>
      <c r="F15" s="49">
        <f t="shared" si="2"/>
        <v>31.646540880503146</v>
      </c>
      <c r="G15" s="52">
        <f t="shared" si="3"/>
        <v>3.159903016813069E-2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80</v>
      </c>
      <c r="S15" s="49">
        <v>1.4</v>
      </c>
      <c r="T15" s="49">
        <v>14</v>
      </c>
    </row>
    <row r="16" spans="1:20" s="53" customFormat="1" ht="15.75" customHeight="1" x14ac:dyDescent="0.25">
      <c r="A16" s="50">
        <v>1935</v>
      </c>
      <c r="B16" s="50">
        <v>12</v>
      </c>
      <c r="C16" s="51">
        <f t="shared" si="0"/>
        <v>7.5</v>
      </c>
      <c r="D16" s="51">
        <f t="shared" si="1"/>
        <v>90</v>
      </c>
      <c r="E16" s="49">
        <v>251.59</v>
      </c>
      <c r="F16" s="49">
        <f t="shared" si="2"/>
        <v>33.545333333333332</v>
      </c>
      <c r="G16" s="52">
        <f t="shared" si="3"/>
        <v>2.9810405818991217E-2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90</v>
      </c>
      <c r="T16" s="49">
        <v>0</v>
      </c>
    </row>
    <row r="17" spans="1:20" s="53" customFormat="1" ht="15.75" customHeight="1" x14ac:dyDescent="0.25">
      <c r="A17" s="50">
        <v>1936</v>
      </c>
      <c r="B17" s="50">
        <v>12</v>
      </c>
      <c r="C17" s="51">
        <f t="shared" si="0"/>
        <v>11.600000000000001</v>
      </c>
      <c r="D17" s="51">
        <f t="shared" si="1"/>
        <v>139.20000000000002</v>
      </c>
      <c r="E17" s="49">
        <v>251.59</v>
      </c>
      <c r="F17" s="49">
        <f t="shared" si="2"/>
        <v>21.688793103448273</v>
      </c>
      <c r="G17" s="52">
        <f t="shared" si="3"/>
        <v>4.6106761000039749E-2</v>
      </c>
      <c r="I17" s="49">
        <v>0</v>
      </c>
      <c r="J17" s="49">
        <v>0</v>
      </c>
      <c r="K17" s="49">
        <v>0</v>
      </c>
      <c r="L17" s="49">
        <v>46</v>
      </c>
      <c r="M17" s="49">
        <v>25.2</v>
      </c>
      <c r="N17" s="49">
        <v>0</v>
      </c>
      <c r="O17" s="49">
        <v>0</v>
      </c>
      <c r="P17" s="49">
        <v>0</v>
      </c>
      <c r="Q17" s="49">
        <v>0</v>
      </c>
      <c r="R17" s="49">
        <v>15.2</v>
      </c>
      <c r="S17" s="49">
        <v>41</v>
      </c>
      <c r="T17" s="49">
        <v>11.8</v>
      </c>
    </row>
    <row r="18" spans="1:20" s="53" customFormat="1" ht="15.75" customHeight="1" x14ac:dyDescent="0.25">
      <c r="A18" s="50">
        <v>1937</v>
      </c>
      <c r="B18" s="50">
        <v>12</v>
      </c>
      <c r="C18" s="51">
        <f t="shared" si="0"/>
        <v>5.7833333333333341</v>
      </c>
      <c r="D18" s="51">
        <f t="shared" si="1"/>
        <v>69.400000000000006</v>
      </c>
      <c r="E18" s="49">
        <v>251.59</v>
      </c>
      <c r="F18" s="49">
        <f t="shared" si="2"/>
        <v>43.502593659942356</v>
      </c>
      <c r="G18" s="52">
        <f t="shared" si="3"/>
        <v>2.2987135153755452E-2</v>
      </c>
      <c r="I18" s="49">
        <v>6</v>
      </c>
      <c r="J18" s="49">
        <v>6</v>
      </c>
      <c r="K18" s="49">
        <v>5.8</v>
      </c>
      <c r="L18" s="49">
        <v>0</v>
      </c>
      <c r="M18" s="49">
        <v>0</v>
      </c>
      <c r="N18" s="49">
        <v>2.8</v>
      </c>
      <c r="O18" s="49">
        <v>1.9</v>
      </c>
      <c r="P18" s="49">
        <v>0</v>
      </c>
      <c r="Q18" s="49">
        <v>0</v>
      </c>
      <c r="R18" s="49">
        <v>15.9</v>
      </c>
      <c r="S18" s="49">
        <v>31</v>
      </c>
      <c r="T18" s="49">
        <v>0</v>
      </c>
    </row>
    <row r="19" spans="1:20" s="53" customFormat="1" ht="15.75" customHeight="1" x14ac:dyDescent="0.25">
      <c r="A19" s="50">
        <v>1938</v>
      </c>
      <c r="B19" s="50">
        <v>12</v>
      </c>
      <c r="C19" s="51">
        <f t="shared" si="0"/>
        <v>14.091666666666669</v>
      </c>
      <c r="D19" s="51">
        <f t="shared" si="1"/>
        <v>169.10000000000002</v>
      </c>
      <c r="E19" s="49">
        <v>251.59</v>
      </c>
      <c r="F19" s="49">
        <f t="shared" si="2"/>
        <v>17.853814311058542</v>
      </c>
      <c r="G19" s="52">
        <f t="shared" si="3"/>
        <v>5.6010440266571281E-2</v>
      </c>
      <c r="I19" s="49">
        <v>0</v>
      </c>
      <c r="J19" s="49">
        <v>4.8</v>
      </c>
      <c r="K19" s="49">
        <v>17.7</v>
      </c>
      <c r="L19" s="49">
        <v>19</v>
      </c>
      <c r="M19" s="49">
        <v>6.9</v>
      </c>
      <c r="N19" s="49">
        <v>33</v>
      </c>
      <c r="O19" s="49">
        <v>11.9</v>
      </c>
      <c r="P19" s="49">
        <v>0</v>
      </c>
      <c r="Q19" s="49">
        <v>0</v>
      </c>
      <c r="R19" s="49">
        <v>0</v>
      </c>
      <c r="S19" s="49">
        <v>75.8</v>
      </c>
      <c r="T19" s="49">
        <v>0</v>
      </c>
    </row>
    <row r="20" spans="1:20" s="53" customFormat="1" ht="15.75" customHeight="1" x14ac:dyDescent="0.25">
      <c r="A20" s="50">
        <v>1939</v>
      </c>
      <c r="B20" s="50">
        <v>12</v>
      </c>
      <c r="C20" s="51">
        <f t="shared" si="0"/>
        <v>20.625</v>
      </c>
      <c r="D20" s="51">
        <f t="shared" si="1"/>
        <v>247.5</v>
      </c>
      <c r="E20" s="49">
        <v>251.59</v>
      </c>
      <c r="F20" s="49">
        <f t="shared" si="2"/>
        <v>12.19830303030303</v>
      </c>
      <c r="G20" s="52">
        <f t="shared" si="3"/>
        <v>8.1978616002225849E-2</v>
      </c>
      <c r="I20" s="49">
        <v>17.7</v>
      </c>
      <c r="J20" s="49">
        <v>22</v>
      </c>
      <c r="K20" s="49">
        <v>37.6</v>
      </c>
      <c r="L20" s="49">
        <v>24.5</v>
      </c>
      <c r="M20" s="49">
        <v>8.1999999999999993</v>
      </c>
      <c r="N20" s="49">
        <v>12.1</v>
      </c>
      <c r="O20" s="49">
        <v>1.8</v>
      </c>
      <c r="P20" s="49">
        <v>0</v>
      </c>
      <c r="Q20" s="49">
        <v>0</v>
      </c>
      <c r="R20" s="49">
        <v>0</v>
      </c>
      <c r="S20" s="49">
        <v>93</v>
      </c>
      <c r="T20" s="49">
        <v>30.6</v>
      </c>
    </row>
    <row r="21" spans="1:20" s="53" customFormat="1" ht="15.75" customHeight="1" x14ac:dyDescent="0.25">
      <c r="A21" s="50">
        <v>1940</v>
      </c>
      <c r="B21" s="50">
        <v>12</v>
      </c>
      <c r="C21" s="51">
        <f t="shared" si="0"/>
        <v>17.216666666666665</v>
      </c>
      <c r="D21" s="51">
        <f t="shared" si="1"/>
        <v>206.6</v>
      </c>
      <c r="E21" s="49">
        <v>251.59</v>
      </c>
      <c r="F21" s="49">
        <f t="shared" si="2"/>
        <v>14.613165537270088</v>
      </c>
      <c r="G21" s="52">
        <f t="shared" si="3"/>
        <v>6.8431442691150937E-2</v>
      </c>
      <c r="I21" s="49">
        <v>2.2000000000000002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32.799999999999997</v>
      </c>
      <c r="S21" s="49">
        <v>162.5</v>
      </c>
      <c r="T21" s="49">
        <v>9.1</v>
      </c>
    </row>
    <row r="22" spans="1:20" s="53" customFormat="1" ht="15.75" customHeight="1" x14ac:dyDescent="0.25">
      <c r="A22" s="50">
        <v>1941</v>
      </c>
      <c r="B22" s="50"/>
      <c r="C22" s="51"/>
      <c r="D22" s="51"/>
      <c r="E22" s="49">
        <v>251.59</v>
      </c>
      <c r="F22" s="49"/>
      <c r="G22" s="52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pans="1:20" s="53" customFormat="1" ht="15.75" customHeight="1" x14ac:dyDescent="0.25">
      <c r="A23" s="50">
        <v>1942</v>
      </c>
      <c r="B23" s="50">
        <v>12</v>
      </c>
      <c r="C23" s="51">
        <f t="shared" ref="C23:C57" si="4">D23/B23</f>
        <v>3.2916666666666665</v>
      </c>
      <c r="D23" s="51">
        <f t="shared" ref="D23:D57" si="5">SUM(I23:T23)</f>
        <v>39.5</v>
      </c>
      <c r="E23" s="49">
        <v>172.4</v>
      </c>
      <c r="F23" s="49">
        <f t="shared" ref="F23:F57" si="6">E23/C23</f>
        <v>52.374683544303799</v>
      </c>
      <c r="G23" s="52">
        <f t="shared" ref="G23:G57" si="7">C23/E23</f>
        <v>1.9093194122196441E-2</v>
      </c>
      <c r="I23" s="49"/>
      <c r="J23" s="49"/>
      <c r="K23" s="49"/>
      <c r="L23" s="49"/>
      <c r="M23" s="49"/>
      <c r="N23" s="49"/>
      <c r="O23" s="49">
        <v>6</v>
      </c>
      <c r="P23" s="49">
        <v>9.1999999999999993</v>
      </c>
      <c r="Q23" s="49">
        <v>12</v>
      </c>
      <c r="R23" s="49">
        <v>11.5</v>
      </c>
      <c r="S23" s="49">
        <v>0.8</v>
      </c>
      <c r="T23" s="49">
        <v>0</v>
      </c>
    </row>
    <row r="24" spans="1:20" s="53" customFormat="1" ht="15.75" customHeight="1" x14ac:dyDescent="0.25">
      <c r="A24" s="50">
        <v>1943</v>
      </c>
      <c r="B24" s="50">
        <v>12</v>
      </c>
      <c r="C24" s="51">
        <f t="shared" si="4"/>
        <v>2.4416666666666664</v>
      </c>
      <c r="D24" s="51">
        <f t="shared" si="5"/>
        <v>29.299999999999997</v>
      </c>
      <c r="E24" s="49">
        <v>172.4</v>
      </c>
      <c r="F24" s="49">
        <f t="shared" si="6"/>
        <v>70.607508532423211</v>
      </c>
      <c r="G24" s="52">
        <f t="shared" si="7"/>
        <v>1.4162799690641915E-2</v>
      </c>
      <c r="I24" s="49">
        <v>0</v>
      </c>
      <c r="J24" s="49">
        <v>5.7</v>
      </c>
      <c r="K24" s="49">
        <v>6</v>
      </c>
      <c r="L24" s="49">
        <v>2.6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15</v>
      </c>
      <c r="S24" s="49">
        <v>0</v>
      </c>
      <c r="T24" s="49">
        <v>0</v>
      </c>
    </row>
    <row r="25" spans="1:20" s="53" customFormat="1" ht="15.75" customHeight="1" x14ac:dyDescent="0.25">
      <c r="A25" s="50">
        <v>1944</v>
      </c>
      <c r="B25" s="50">
        <v>12</v>
      </c>
      <c r="C25" s="51">
        <f t="shared" si="4"/>
        <v>0</v>
      </c>
      <c r="D25" s="51">
        <f t="shared" si="5"/>
        <v>0</v>
      </c>
      <c r="E25" s="49">
        <v>172.4</v>
      </c>
      <c r="F25" s="49" t="e">
        <f t="shared" si="6"/>
        <v>#DIV/0!</v>
      </c>
      <c r="G25" s="52">
        <f t="shared" si="7"/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</row>
    <row r="26" spans="1:20" s="53" customFormat="1" ht="15.75" customHeight="1" x14ac:dyDescent="0.25">
      <c r="A26" s="50">
        <v>1945</v>
      </c>
      <c r="B26" s="50">
        <v>12</v>
      </c>
      <c r="C26" s="51">
        <f t="shared" si="4"/>
        <v>0</v>
      </c>
      <c r="D26" s="51">
        <f t="shared" si="5"/>
        <v>0</v>
      </c>
      <c r="E26" s="49">
        <v>172.4</v>
      </c>
      <c r="F26" s="49" t="e">
        <f t="shared" si="6"/>
        <v>#DIV/0!</v>
      </c>
      <c r="G26" s="52">
        <f t="shared" si="7"/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0" s="53" customFormat="1" ht="15.75" customHeight="1" x14ac:dyDescent="0.25">
      <c r="A27" s="50">
        <v>1946</v>
      </c>
      <c r="B27" s="50">
        <v>12</v>
      </c>
      <c r="C27" s="51">
        <f t="shared" si="4"/>
        <v>4.6166666666666671</v>
      </c>
      <c r="D27" s="51">
        <f t="shared" si="5"/>
        <v>55.400000000000006</v>
      </c>
      <c r="E27" s="49">
        <v>172.4</v>
      </c>
      <c r="F27" s="49">
        <f t="shared" si="6"/>
        <v>37.342960288808662</v>
      </c>
      <c r="G27" s="52">
        <f t="shared" si="7"/>
        <v>2.677880897138438E-2</v>
      </c>
      <c r="I27" s="49">
        <v>0</v>
      </c>
      <c r="J27" s="49">
        <v>0</v>
      </c>
      <c r="K27" s="49">
        <v>0</v>
      </c>
      <c r="L27" s="49">
        <v>0</v>
      </c>
      <c r="M27" s="49">
        <v>12.9</v>
      </c>
      <c r="N27" s="49">
        <v>5.4</v>
      </c>
      <c r="O27" s="49">
        <v>0</v>
      </c>
      <c r="P27" s="49">
        <v>0</v>
      </c>
      <c r="Q27" s="49">
        <v>0</v>
      </c>
      <c r="R27" s="49">
        <v>3</v>
      </c>
      <c r="S27" s="49">
        <v>34.1</v>
      </c>
      <c r="T27" s="49">
        <v>0</v>
      </c>
    </row>
    <row r="28" spans="1:20" s="53" customFormat="1" ht="15.75" customHeight="1" x14ac:dyDescent="0.25">
      <c r="A28" s="50">
        <v>1947</v>
      </c>
      <c r="B28" s="50">
        <v>12</v>
      </c>
      <c r="C28" s="51">
        <f t="shared" si="4"/>
        <v>2.6333333333333333</v>
      </c>
      <c r="D28" s="51">
        <f t="shared" si="5"/>
        <v>31.6</v>
      </c>
      <c r="E28" s="49">
        <v>172.4</v>
      </c>
      <c r="F28" s="49">
        <f t="shared" si="6"/>
        <v>65.468354430379748</v>
      </c>
      <c r="G28" s="52">
        <f t="shared" si="7"/>
        <v>1.5274555297757153E-2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6.9</v>
      </c>
      <c r="S28" s="49">
        <v>24.7</v>
      </c>
      <c r="T28" s="49">
        <v>0</v>
      </c>
    </row>
    <row r="29" spans="1:20" s="53" customFormat="1" ht="15.75" customHeight="1" x14ac:dyDescent="0.25">
      <c r="A29" s="50">
        <v>1948</v>
      </c>
      <c r="B29" s="50">
        <v>12</v>
      </c>
      <c r="C29" s="51">
        <f t="shared" si="4"/>
        <v>2.5500000000000003</v>
      </c>
      <c r="D29" s="51">
        <f t="shared" si="5"/>
        <v>30.6</v>
      </c>
      <c r="E29" s="49">
        <v>172.4</v>
      </c>
      <c r="F29" s="49">
        <f t="shared" si="6"/>
        <v>67.607843137254903</v>
      </c>
      <c r="G29" s="52">
        <f t="shared" si="7"/>
        <v>1.4791183294663574E-2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14.6</v>
      </c>
      <c r="O29" s="49">
        <v>1.2</v>
      </c>
      <c r="P29" s="49">
        <v>0</v>
      </c>
      <c r="Q29" s="49">
        <v>0</v>
      </c>
      <c r="R29" s="49">
        <v>1.7</v>
      </c>
      <c r="S29" s="49">
        <v>7.1</v>
      </c>
      <c r="T29" s="49">
        <v>6</v>
      </c>
    </row>
    <row r="30" spans="1:20" s="53" customFormat="1" ht="15.75" customHeight="1" x14ac:dyDescent="0.25">
      <c r="A30" s="50">
        <v>1949</v>
      </c>
      <c r="B30" s="50">
        <v>12</v>
      </c>
      <c r="C30" s="51">
        <f t="shared" si="4"/>
        <v>1.7416666666666665</v>
      </c>
      <c r="D30" s="51">
        <f t="shared" si="5"/>
        <v>20.9</v>
      </c>
      <c r="E30" s="49">
        <v>172.4</v>
      </c>
      <c r="F30" s="49">
        <f t="shared" si="6"/>
        <v>98.985645933014368</v>
      </c>
      <c r="G30" s="52">
        <f t="shared" si="7"/>
        <v>1.0102474864655838E-2</v>
      </c>
      <c r="I30" s="49">
        <v>6</v>
      </c>
      <c r="J30" s="49">
        <v>0.5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14.4</v>
      </c>
      <c r="T30" s="49">
        <v>0</v>
      </c>
    </row>
    <row r="31" spans="1:20" s="53" customFormat="1" ht="15.75" customHeight="1" x14ac:dyDescent="0.25">
      <c r="A31" s="50">
        <v>1950</v>
      </c>
      <c r="B31" s="50">
        <v>12</v>
      </c>
      <c r="C31" s="51">
        <f t="shared" si="4"/>
        <v>0.19166666666666665</v>
      </c>
      <c r="D31" s="51">
        <f t="shared" si="5"/>
        <v>2.2999999999999998</v>
      </c>
      <c r="E31" s="49">
        <v>172.4</v>
      </c>
      <c r="F31" s="49">
        <f t="shared" si="6"/>
        <v>899.47826086956536</v>
      </c>
      <c r="G31" s="52">
        <f t="shared" si="7"/>
        <v>1.1117556071152358E-3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2.2999999999999998</v>
      </c>
      <c r="S31" s="49">
        <v>0</v>
      </c>
      <c r="T31" s="49">
        <v>0</v>
      </c>
    </row>
    <row r="32" spans="1:20" s="53" customFormat="1" ht="15.75" customHeight="1" x14ac:dyDescent="0.25">
      <c r="A32" s="50">
        <v>1951</v>
      </c>
      <c r="B32" s="50">
        <v>12</v>
      </c>
      <c r="C32" s="51">
        <f t="shared" si="4"/>
        <v>4.708333333333333</v>
      </c>
      <c r="D32" s="51">
        <f t="shared" si="5"/>
        <v>56.5</v>
      </c>
      <c r="E32" s="49">
        <v>172.4</v>
      </c>
      <c r="F32" s="49">
        <f t="shared" si="6"/>
        <v>36.615929203539828</v>
      </c>
      <c r="G32" s="52">
        <f t="shared" si="7"/>
        <v>2.7310518174787312E-2</v>
      </c>
      <c r="I32" s="49">
        <v>3</v>
      </c>
      <c r="J32" s="49">
        <v>6.7</v>
      </c>
      <c r="K32" s="49">
        <v>1.8</v>
      </c>
      <c r="L32" s="49">
        <v>6.5</v>
      </c>
      <c r="M32" s="49">
        <v>15.8</v>
      </c>
      <c r="N32" s="49">
        <v>6.7</v>
      </c>
      <c r="O32" s="49">
        <v>0</v>
      </c>
      <c r="P32" s="49">
        <v>0</v>
      </c>
      <c r="Q32" s="49">
        <v>0</v>
      </c>
      <c r="R32" s="49">
        <v>0</v>
      </c>
      <c r="S32" s="49">
        <v>16</v>
      </c>
      <c r="T32" s="49">
        <v>0</v>
      </c>
    </row>
    <row r="33" spans="1:20" s="53" customFormat="1" ht="15.75" customHeight="1" x14ac:dyDescent="0.25">
      <c r="A33" s="50">
        <v>1952</v>
      </c>
      <c r="B33" s="50">
        <v>12</v>
      </c>
      <c r="C33" s="51">
        <f t="shared" si="4"/>
        <v>0.17500000000000002</v>
      </c>
      <c r="D33" s="51">
        <f t="shared" si="5"/>
        <v>2.1</v>
      </c>
      <c r="E33" s="49">
        <v>172.4</v>
      </c>
      <c r="F33" s="49">
        <f t="shared" si="6"/>
        <v>985.14285714285711</v>
      </c>
      <c r="G33" s="52">
        <f t="shared" si="7"/>
        <v>1.0150812064965197E-3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2.1</v>
      </c>
      <c r="T33" s="49">
        <v>0</v>
      </c>
    </row>
    <row r="34" spans="1:20" s="53" customFormat="1" ht="15.75" customHeight="1" x14ac:dyDescent="0.25">
      <c r="A34" s="50">
        <v>1953</v>
      </c>
      <c r="B34" s="50">
        <v>12</v>
      </c>
      <c r="C34" s="51">
        <f t="shared" si="4"/>
        <v>1.3416666666666668</v>
      </c>
      <c r="D34" s="51">
        <f t="shared" si="5"/>
        <v>16.100000000000001</v>
      </c>
      <c r="E34" s="49">
        <v>172.4</v>
      </c>
      <c r="F34" s="49">
        <f t="shared" si="6"/>
        <v>128.49689440993788</v>
      </c>
      <c r="G34" s="52">
        <f t="shared" si="7"/>
        <v>7.7822892498066515E-3</v>
      </c>
      <c r="I34" s="49">
        <v>0.1</v>
      </c>
      <c r="J34" s="49">
        <v>0.2</v>
      </c>
      <c r="K34" s="49">
        <v>3</v>
      </c>
      <c r="L34" s="49">
        <v>0</v>
      </c>
      <c r="M34" s="49">
        <v>7</v>
      </c>
      <c r="N34" s="49">
        <v>0</v>
      </c>
      <c r="O34" s="49">
        <v>0</v>
      </c>
      <c r="P34" s="49">
        <v>0</v>
      </c>
      <c r="Q34" s="49">
        <v>0.2</v>
      </c>
      <c r="R34" s="49">
        <v>5.6</v>
      </c>
      <c r="S34" s="49">
        <v>0</v>
      </c>
      <c r="T34" s="49">
        <v>0</v>
      </c>
    </row>
    <row r="35" spans="1:20" s="53" customFormat="1" ht="15.75" customHeight="1" x14ac:dyDescent="0.25">
      <c r="A35" s="50">
        <v>1954</v>
      </c>
      <c r="B35" s="50">
        <v>12</v>
      </c>
      <c r="C35" s="51">
        <f t="shared" si="4"/>
        <v>0.42499999999999999</v>
      </c>
      <c r="D35" s="51">
        <f t="shared" si="5"/>
        <v>5.0999999999999996</v>
      </c>
      <c r="E35" s="49">
        <v>172.4</v>
      </c>
      <c r="F35" s="49">
        <f t="shared" si="6"/>
        <v>405.64705882352945</v>
      </c>
      <c r="G35" s="52">
        <f t="shared" si="7"/>
        <v>2.4651972157772621E-3</v>
      </c>
      <c r="I35" s="49">
        <v>0</v>
      </c>
      <c r="J35" s="49">
        <v>0</v>
      </c>
      <c r="K35" s="49">
        <v>0</v>
      </c>
      <c r="L35" s="49">
        <v>0</v>
      </c>
      <c r="M35" s="49">
        <v>0.5</v>
      </c>
      <c r="N35" s="49">
        <v>4.5</v>
      </c>
      <c r="O35" s="49">
        <v>0.1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</row>
    <row r="36" spans="1:20" s="53" customFormat="1" ht="15.75" customHeight="1" x14ac:dyDescent="0.25">
      <c r="A36" s="50">
        <v>1955</v>
      </c>
      <c r="B36" s="50">
        <v>12</v>
      </c>
      <c r="C36" s="51">
        <f t="shared" si="4"/>
        <v>3.1916666666666664</v>
      </c>
      <c r="D36" s="51">
        <f t="shared" si="5"/>
        <v>38.299999999999997</v>
      </c>
      <c r="E36" s="49">
        <v>172.4</v>
      </c>
      <c r="F36" s="49">
        <f t="shared" si="6"/>
        <v>54.015665796344656</v>
      </c>
      <c r="G36" s="52">
        <f t="shared" si="7"/>
        <v>1.8513147718484144E-2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7.3</v>
      </c>
      <c r="T36" s="49">
        <v>31</v>
      </c>
    </row>
    <row r="37" spans="1:20" s="53" customFormat="1" ht="15.75" customHeight="1" x14ac:dyDescent="0.25">
      <c r="A37" s="50">
        <v>1956</v>
      </c>
      <c r="B37" s="50">
        <v>12</v>
      </c>
      <c r="C37" s="51">
        <f t="shared" si="4"/>
        <v>10.358333333333333</v>
      </c>
      <c r="D37" s="51">
        <f t="shared" si="5"/>
        <v>124.3</v>
      </c>
      <c r="E37" s="49">
        <v>172.4</v>
      </c>
      <c r="F37" s="49">
        <f t="shared" si="6"/>
        <v>16.643604183427193</v>
      </c>
      <c r="G37" s="52">
        <f t="shared" si="7"/>
        <v>6.0083139984532088E-2</v>
      </c>
      <c r="I37" s="49">
        <v>2.1</v>
      </c>
      <c r="J37" s="49">
        <v>0</v>
      </c>
      <c r="K37" s="49">
        <v>0</v>
      </c>
      <c r="L37" s="49">
        <v>0.6</v>
      </c>
      <c r="M37" s="49">
        <v>3.8</v>
      </c>
      <c r="N37" s="49">
        <v>16</v>
      </c>
      <c r="O37" s="49">
        <v>15.4</v>
      </c>
      <c r="P37" s="49">
        <v>17.3</v>
      </c>
      <c r="Q37" s="49">
        <v>39.299999999999997</v>
      </c>
      <c r="R37" s="49">
        <v>14.7</v>
      </c>
      <c r="S37" s="49">
        <v>12.1</v>
      </c>
      <c r="T37" s="49">
        <v>3</v>
      </c>
    </row>
    <row r="38" spans="1:20" s="53" customFormat="1" ht="15.75" customHeight="1" x14ac:dyDescent="0.25">
      <c r="A38" s="50">
        <v>1957</v>
      </c>
      <c r="B38" s="50">
        <v>12</v>
      </c>
      <c r="C38" s="51">
        <f t="shared" si="4"/>
        <v>0.65833333333333333</v>
      </c>
      <c r="D38" s="51">
        <f t="shared" si="5"/>
        <v>7.9</v>
      </c>
      <c r="E38" s="49">
        <v>172.4</v>
      </c>
      <c r="F38" s="49">
        <f t="shared" si="6"/>
        <v>261.87341772151899</v>
      </c>
      <c r="G38" s="52">
        <f t="shared" si="7"/>
        <v>3.8186388244392882E-3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1.9</v>
      </c>
      <c r="S38" s="49">
        <v>2</v>
      </c>
      <c r="T38" s="49">
        <v>4</v>
      </c>
    </row>
    <row r="39" spans="1:20" s="53" customFormat="1" ht="15.75" customHeight="1" x14ac:dyDescent="0.25">
      <c r="A39" s="50">
        <v>1958</v>
      </c>
      <c r="B39" s="50">
        <v>12</v>
      </c>
      <c r="C39" s="51">
        <f t="shared" si="4"/>
        <v>12.775</v>
      </c>
      <c r="D39" s="51">
        <f t="shared" si="5"/>
        <v>153.30000000000001</v>
      </c>
      <c r="E39" s="49">
        <v>172.4</v>
      </c>
      <c r="F39" s="49">
        <f t="shared" si="6"/>
        <v>13.495107632093934</v>
      </c>
      <c r="G39" s="52">
        <f t="shared" si="7"/>
        <v>7.4100928074245939E-2</v>
      </c>
      <c r="I39" s="49">
        <v>54.8</v>
      </c>
      <c r="J39" s="49">
        <v>55</v>
      </c>
      <c r="K39" s="49">
        <v>17.8</v>
      </c>
      <c r="L39" s="49">
        <v>5.8</v>
      </c>
      <c r="M39" s="49">
        <v>7</v>
      </c>
      <c r="N39" s="49">
        <v>2.1</v>
      </c>
      <c r="O39" s="49">
        <v>0</v>
      </c>
      <c r="P39" s="49">
        <v>0</v>
      </c>
      <c r="Q39" s="49">
        <v>0</v>
      </c>
      <c r="R39" s="49">
        <v>0</v>
      </c>
      <c r="S39" s="49">
        <v>10.8</v>
      </c>
      <c r="T39" s="49">
        <v>0</v>
      </c>
    </row>
    <row r="40" spans="1:20" s="53" customFormat="1" ht="15.75" customHeight="1" x14ac:dyDescent="0.25">
      <c r="A40" s="50">
        <v>1959</v>
      </c>
      <c r="B40" s="50">
        <v>12</v>
      </c>
      <c r="C40" s="51">
        <f t="shared" si="4"/>
        <v>6.7833333333333323</v>
      </c>
      <c r="D40" s="51">
        <f t="shared" si="5"/>
        <v>81.399999999999991</v>
      </c>
      <c r="E40" s="49">
        <v>172.4</v>
      </c>
      <c r="F40" s="49">
        <f t="shared" si="6"/>
        <v>25.41523341523342</v>
      </c>
      <c r="G40" s="52">
        <f t="shared" si="7"/>
        <v>3.934648105181747E-2</v>
      </c>
      <c r="I40" s="49">
        <v>0</v>
      </c>
      <c r="J40" s="49">
        <v>0</v>
      </c>
      <c r="K40" s="49">
        <v>15.6</v>
      </c>
      <c r="L40" s="49">
        <v>19</v>
      </c>
      <c r="M40" s="49">
        <v>18.899999999999999</v>
      </c>
      <c r="N40" s="49">
        <v>18.600000000000001</v>
      </c>
      <c r="O40" s="49">
        <v>8.1</v>
      </c>
      <c r="P40" s="49">
        <v>0</v>
      </c>
      <c r="Q40" s="49">
        <v>0</v>
      </c>
      <c r="R40" s="49">
        <v>0</v>
      </c>
      <c r="S40" s="49">
        <v>0</v>
      </c>
      <c r="T40" s="49">
        <v>1.2</v>
      </c>
    </row>
    <row r="41" spans="1:20" s="53" customFormat="1" ht="15.75" customHeight="1" x14ac:dyDescent="0.25">
      <c r="A41" s="50">
        <v>1960</v>
      </c>
      <c r="B41" s="50">
        <v>12</v>
      </c>
      <c r="C41" s="51">
        <f t="shared" si="4"/>
        <v>2.9500000000000006</v>
      </c>
      <c r="D41" s="51">
        <f t="shared" si="5"/>
        <v>35.400000000000006</v>
      </c>
      <c r="E41" s="49">
        <v>172.4</v>
      </c>
      <c r="F41" s="49">
        <f t="shared" si="6"/>
        <v>58.440677966101681</v>
      </c>
      <c r="G41" s="52">
        <f t="shared" si="7"/>
        <v>1.7111368909512766E-2</v>
      </c>
      <c r="I41" s="49">
        <v>3</v>
      </c>
      <c r="J41" s="49">
        <v>3</v>
      </c>
      <c r="K41" s="49">
        <v>2.4</v>
      </c>
      <c r="L41" s="49">
        <v>3</v>
      </c>
      <c r="M41" s="49">
        <v>3</v>
      </c>
      <c r="N41" s="49">
        <v>3.6</v>
      </c>
      <c r="O41" s="49">
        <v>3.6</v>
      </c>
      <c r="P41" s="49">
        <v>3.6</v>
      </c>
      <c r="Q41" s="49">
        <v>3.6</v>
      </c>
      <c r="R41" s="49">
        <v>4.4000000000000004</v>
      </c>
      <c r="S41" s="49">
        <v>2.2000000000000002</v>
      </c>
      <c r="T41" s="49">
        <v>0</v>
      </c>
    </row>
    <row r="42" spans="1:20" s="53" customFormat="1" ht="15.75" customHeight="1" x14ac:dyDescent="0.25">
      <c r="A42" s="50">
        <v>1961</v>
      </c>
      <c r="B42" s="50">
        <v>12</v>
      </c>
      <c r="C42" s="51">
        <f t="shared" si="4"/>
        <v>3.9916666666666667</v>
      </c>
      <c r="D42" s="51">
        <f t="shared" si="5"/>
        <v>47.9</v>
      </c>
      <c r="E42" s="49">
        <v>172.4</v>
      </c>
      <c r="F42" s="49">
        <f t="shared" si="6"/>
        <v>43.189979123173281</v>
      </c>
      <c r="G42" s="52">
        <f t="shared" si="7"/>
        <v>2.315351894818252E-2</v>
      </c>
      <c r="I42" s="49">
        <v>0</v>
      </c>
      <c r="J42" s="49">
        <v>0</v>
      </c>
      <c r="K42" s="49">
        <v>0</v>
      </c>
      <c r="L42" s="49">
        <v>0</v>
      </c>
      <c r="M42" s="49">
        <v>2</v>
      </c>
      <c r="N42" s="49">
        <v>2.4</v>
      </c>
      <c r="O42" s="49">
        <v>3.9</v>
      </c>
      <c r="P42" s="49">
        <v>4.8</v>
      </c>
      <c r="Q42" s="49">
        <v>4.8</v>
      </c>
      <c r="R42" s="49">
        <v>10.1</v>
      </c>
      <c r="S42" s="49">
        <v>18.100000000000001</v>
      </c>
      <c r="T42" s="49">
        <v>1.8</v>
      </c>
    </row>
    <row r="43" spans="1:20" s="53" customFormat="1" ht="15.75" customHeight="1" x14ac:dyDescent="0.25">
      <c r="A43" s="50">
        <v>1962</v>
      </c>
      <c r="B43" s="50">
        <v>12</v>
      </c>
      <c r="C43" s="51">
        <f t="shared" si="4"/>
        <v>3.9333333333333322</v>
      </c>
      <c r="D43" s="51">
        <f t="shared" si="5"/>
        <v>47.199999999999989</v>
      </c>
      <c r="E43" s="49">
        <v>172.4</v>
      </c>
      <c r="F43" s="49">
        <f t="shared" si="6"/>
        <v>43.830508474576284</v>
      </c>
      <c r="G43" s="52">
        <f t="shared" si="7"/>
        <v>2.2815158546017008E-2</v>
      </c>
      <c r="I43" s="49">
        <v>3</v>
      </c>
      <c r="J43" s="49">
        <v>3</v>
      </c>
      <c r="K43" s="49">
        <v>3</v>
      </c>
      <c r="L43" s="49">
        <v>3</v>
      </c>
      <c r="M43" s="49">
        <v>1.3</v>
      </c>
      <c r="N43" s="49">
        <v>0</v>
      </c>
      <c r="O43" s="49">
        <v>0</v>
      </c>
      <c r="P43" s="49">
        <v>0</v>
      </c>
      <c r="Q43" s="49">
        <v>15.1</v>
      </c>
      <c r="R43" s="49">
        <v>15.2</v>
      </c>
      <c r="S43" s="49">
        <v>1.8</v>
      </c>
      <c r="T43" s="49">
        <v>1.8</v>
      </c>
    </row>
    <row r="44" spans="1:20" s="53" customFormat="1" ht="15.75" customHeight="1" x14ac:dyDescent="0.25">
      <c r="A44" s="50">
        <v>1963</v>
      </c>
      <c r="B44" s="50">
        <v>12</v>
      </c>
      <c r="C44" s="51">
        <f t="shared" si="4"/>
        <v>6.6749999999999998</v>
      </c>
      <c r="D44" s="51">
        <f t="shared" si="5"/>
        <v>80.099999999999994</v>
      </c>
      <c r="E44" s="49">
        <v>172.4</v>
      </c>
      <c r="F44" s="49">
        <f t="shared" si="6"/>
        <v>25.827715355805246</v>
      </c>
      <c r="G44" s="52">
        <f t="shared" si="7"/>
        <v>3.8718097447795821E-2</v>
      </c>
      <c r="I44" s="49">
        <v>3</v>
      </c>
      <c r="J44" s="49">
        <v>3</v>
      </c>
      <c r="K44" s="49">
        <v>2.8</v>
      </c>
      <c r="L44" s="49">
        <v>2.6</v>
      </c>
      <c r="M44" s="49">
        <v>3</v>
      </c>
      <c r="N44" s="49">
        <v>3</v>
      </c>
      <c r="O44" s="49">
        <v>3</v>
      </c>
      <c r="P44" s="49">
        <v>3</v>
      </c>
      <c r="Q44" s="49">
        <v>3</v>
      </c>
      <c r="R44" s="49">
        <v>25.3</v>
      </c>
      <c r="S44" s="49">
        <v>28.4</v>
      </c>
      <c r="T44" s="49">
        <v>0</v>
      </c>
    </row>
    <row r="45" spans="1:20" s="53" customFormat="1" ht="15.75" customHeight="1" x14ac:dyDescent="0.25">
      <c r="A45" s="50">
        <v>1964</v>
      </c>
      <c r="B45" s="50">
        <v>12</v>
      </c>
      <c r="C45" s="51">
        <f t="shared" si="4"/>
        <v>9.1666666666666674E-2</v>
      </c>
      <c r="D45" s="51">
        <f t="shared" si="5"/>
        <v>1.1000000000000001</v>
      </c>
      <c r="E45" s="49">
        <v>172.4</v>
      </c>
      <c r="F45" s="49">
        <f t="shared" si="6"/>
        <v>1880.7272727272727</v>
      </c>
      <c r="G45" s="52">
        <f t="shared" si="7"/>
        <v>5.3170920340293892E-4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1.1000000000000001</v>
      </c>
    </row>
    <row r="46" spans="1:20" s="53" customFormat="1" ht="15.75" customHeight="1" x14ac:dyDescent="0.25">
      <c r="A46" s="50">
        <v>1965</v>
      </c>
      <c r="B46" s="50">
        <v>12</v>
      </c>
      <c r="C46" s="51">
        <f t="shared" si="4"/>
        <v>11.916666666666666</v>
      </c>
      <c r="D46" s="51">
        <f t="shared" si="5"/>
        <v>143</v>
      </c>
      <c r="E46" s="49">
        <v>172.4</v>
      </c>
      <c r="F46" s="49">
        <f t="shared" si="6"/>
        <v>14.467132867132868</v>
      </c>
      <c r="G46" s="52">
        <f t="shared" si="7"/>
        <v>6.9122196442382058E-2</v>
      </c>
      <c r="I46" s="49">
        <v>0</v>
      </c>
      <c r="J46" s="49">
        <v>0</v>
      </c>
      <c r="K46" s="49">
        <v>0.5</v>
      </c>
      <c r="L46" s="49">
        <v>5.2</v>
      </c>
      <c r="M46" s="49">
        <v>0</v>
      </c>
      <c r="N46" s="49">
        <v>0</v>
      </c>
      <c r="O46" s="49">
        <v>0</v>
      </c>
      <c r="P46" s="49">
        <v>36.1</v>
      </c>
      <c r="Q46" s="49">
        <v>56.7</v>
      </c>
      <c r="R46" s="49">
        <v>44.5</v>
      </c>
      <c r="S46" s="49">
        <v>0</v>
      </c>
      <c r="T46" s="49">
        <v>0</v>
      </c>
    </row>
    <row r="47" spans="1:20" s="53" customFormat="1" ht="15.75" customHeight="1" x14ac:dyDescent="0.25">
      <c r="A47" s="50">
        <v>1966</v>
      </c>
      <c r="B47" s="50">
        <v>12</v>
      </c>
      <c r="C47" s="51">
        <f t="shared" si="4"/>
        <v>0.57500000000000007</v>
      </c>
      <c r="D47" s="51">
        <f t="shared" si="5"/>
        <v>6.9</v>
      </c>
      <c r="E47" s="49">
        <v>172.4</v>
      </c>
      <c r="F47" s="49">
        <f t="shared" si="6"/>
        <v>299.82608695652169</v>
      </c>
      <c r="G47" s="52">
        <f t="shared" si="7"/>
        <v>3.335266821345708E-3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1.2</v>
      </c>
      <c r="R47" s="49">
        <v>5.7</v>
      </c>
      <c r="S47" s="49">
        <v>0</v>
      </c>
      <c r="T47" s="49">
        <v>0</v>
      </c>
    </row>
    <row r="48" spans="1:20" s="53" customFormat="1" ht="15.75" customHeight="1" x14ac:dyDescent="0.25">
      <c r="A48" s="50">
        <v>1967</v>
      </c>
      <c r="B48" s="50">
        <v>12</v>
      </c>
      <c r="C48" s="51">
        <f t="shared" si="4"/>
        <v>8.3333333333333329E-2</v>
      </c>
      <c r="D48" s="51">
        <f t="shared" si="5"/>
        <v>1</v>
      </c>
      <c r="E48" s="49">
        <v>172.4</v>
      </c>
      <c r="F48" s="49">
        <f t="shared" si="6"/>
        <v>2068.8000000000002</v>
      </c>
      <c r="G48" s="52">
        <f t="shared" si="7"/>
        <v>4.8337200309358076E-4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1</v>
      </c>
      <c r="S48" s="49">
        <v>0</v>
      </c>
      <c r="T48" s="49">
        <v>0</v>
      </c>
    </row>
    <row r="49" spans="1:20" s="53" customFormat="1" ht="15.75" customHeight="1" x14ac:dyDescent="0.25">
      <c r="A49" s="50">
        <v>1968</v>
      </c>
      <c r="B49" s="50">
        <v>12</v>
      </c>
      <c r="C49" s="51">
        <f t="shared" si="4"/>
        <v>2.8916666666666662</v>
      </c>
      <c r="D49" s="51">
        <f t="shared" si="5"/>
        <v>34.699999999999996</v>
      </c>
      <c r="E49" s="49">
        <v>172.4</v>
      </c>
      <c r="F49" s="49">
        <f t="shared" si="6"/>
        <v>59.619596541786755</v>
      </c>
      <c r="G49" s="52">
        <f t="shared" si="7"/>
        <v>1.677300850734725E-2</v>
      </c>
      <c r="I49" s="49">
        <v>29.4</v>
      </c>
      <c r="J49" s="49">
        <v>2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0.8</v>
      </c>
      <c r="T49" s="49">
        <v>2.5</v>
      </c>
    </row>
    <row r="50" spans="1:20" s="53" customFormat="1" ht="15.75" customHeight="1" x14ac:dyDescent="0.25">
      <c r="A50" s="50">
        <v>1969</v>
      </c>
      <c r="B50" s="50">
        <v>12</v>
      </c>
      <c r="C50" s="51">
        <f t="shared" si="4"/>
        <v>8.0666666666666682</v>
      </c>
      <c r="D50" s="51">
        <f t="shared" si="5"/>
        <v>96.800000000000011</v>
      </c>
      <c r="E50" s="49">
        <v>172.4</v>
      </c>
      <c r="F50" s="49">
        <f t="shared" si="6"/>
        <v>21.371900826446279</v>
      </c>
      <c r="G50" s="52">
        <f t="shared" si="7"/>
        <v>4.6790409899458631E-2</v>
      </c>
      <c r="I50" s="49">
        <v>0</v>
      </c>
      <c r="J50" s="49">
        <v>0</v>
      </c>
      <c r="K50" s="49">
        <v>10.7</v>
      </c>
      <c r="L50" s="49">
        <v>11</v>
      </c>
      <c r="M50" s="49">
        <v>9.9</v>
      </c>
      <c r="N50" s="49">
        <v>8</v>
      </c>
      <c r="O50" s="49">
        <v>8</v>
      </c>
      <c r="P50" s="49">
        <v>7.3</v>
      </c>
      <c r="Q50" s="49">
        <v>11</v>
      </c>
      <c r="R50" s="49">
        <v>10</v>
      </c>
      <c r="S50" s="49">
        <v>10</v>
      </c>
      <c r="T50" s="49">
        <v>10.9</v>
      </c>
    </row>
    <row r="51" spans="1:20" s="53" customFormat="1" ht="15.75" customHeight="1" x14ac:dyDescent="0.25">
      <c r="A51" s="50">
        <v>1970</v>
      </c>
      <c r="B51" s="50">
        <v>12</v>
      </c>
      <c r="C51" s="51">
        <f t="shared" si="4"/>
        <v>0.48333333333333334</v>
      </c>
      <c r="D51" s="51">
        <f t="shared" si="5"/>
        <v>5.8</v>
      </c>
      <c r="E51" s="49">
        <v>172.4</v>
      </c>
      <c r="F51" s="49">
        <f t="shared" si="6"/>
        <v>356.68965517241378</v>
      </c>
      <c r="G51" s="52">
        <f t="shared" si="7"/>
        <v>2.8035576179427685E-3</v>
      </c>
      <c r="I51" s="49">
        <v>5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0.8</v>
      </c>
      <c r="S51" s="49">
        <v>0</v>
      </c>
      <c r="T51" s="49">
        <v>0</v>
      </c>
    </row>
    <row r="52" spans="1:20" s="53" customFormat="1" ht="15.75" customHeight="1" x14ac:dyDescent="0.25">
      <c r="A52" s="50">
        <v>1971</v>
      </c>
      <c r="B52" s="50">
        <v>12</v>
      </c>
      <c r="C52" s="51">
        <f t="shared" si="4"/>
        <v>0.73333333333333339</v>
      </c>
      <c r="D52" s="51">
        <f t="shared" si="5"/>
        <v>8.8000000000000007</v>
      </c>
      <c r="E52" s="49">
        <v>172.4</v>
      </c>
      <c r="F52" s="49">
        <f t="shared" si="6"/>
        <v>235.09090909090909</v>
      </c>
      <c r="G52" s="52">
        <f t="shared" si="7"/>
        <v>4.2536736272235113E-3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3.8</v>
      </c>
      <c r="T52" s="49">
        <v>5</v>
      </c>
    </row>
    <row r="53" spans="1:20" s="53" customFormat="1" ht="15.75" customHeight="1" x14ac:dyDescent="0.25">
      <c r="A53" s="50">
        <v>1972</v>
      </c>
      <c r="B53" s="50">
        <v>12</v>
      </c>
      <c r="C53" s="51">
        <f t="shared" si="4"/>
        <v>5.1749999999999998</v>
      </c>
      <c r="D53" s="51">
        <f t="shared" si="5"/>
        <v>62.099999999999994</v>
      </c>
      <c r="E53" s="49">
        <v>172.4</v>
      </c>
      <c r="F53" s="49">
        <f t="shared" si="6"/>
        <v>33.314009661835748</v>
      </c>
      <c r="G53" s="52">
        <f t="shared" si="7"/>
        <v>3.0017401392111367E-2</v>
      </c>
      <c r="I53" s="49">
        <v>4.8</v>
      </c>
      <c r="J53" s="49">
        <v>4.9000000000000004</v>
      </c>
      <c r="K53" s="49">
        <v>5.6</v>
      </c>
      <c r="L53" s="49">
        <v>6</v>
      </c>
      <c r="M53" s="49">
        <v>6</v>
      </c>
      <c r="N53" s="49">
        <v>6</v>
      </c>
      <c r="O53" s="49">
        <v>6</v>
      </c>
      <c r="P53" s="49">
        <v>6</v>
      </c>
      <c r="Q53" s="49">
        <v>0</v>
      </c>
      <c r="R53" s="49">
        <v>5.8</v>
      </c>
      <c r="S53" s="49">
        <v>6.2</v>
      </c>
      <c r="T53" s="49">
        <v>4.8</v>
      </c>
    </row>
    <row r="54" spans="1:20" s="53" customFormat="1" ht="15.75" customHeight="1" x14ac:dyDescent="0.25">
      <c r="A54" s="50">
        <v>1973</v>
      </c>
      <c r="B54" s="50">
        <v>12</v>
      </c>
      <c r="C54" s="51">
        <f t="shared" si="4"/>
        <v>5.5750000000000002</v>
      </c>
      <c r="D54" s="51">
        <f t="shared" si="5"/>
        <v>66.900000000000006</v>
      </c>
      <c r="E54" s="49">
        <v>172.4</v>
      </c>
      <c r="F54" s="49">
        <f t="shared" si="6"/>
        <v>30.923766816143498</v>
      </c>
      <c r="G54" s="52">
        <f t="shared" si="7"/>
        <v>3.2337587006960558E-2</v>
      </c>
      <c r="I54" s="49">
        <v>5</v>
      </c>
      <c r="J54" s="49">
        <v>5</v>
      </c>
      <c r="K54" s="49">
        <v>5.7</v>
      </c>
      <c r="L54" s="49">
        <v>6</v>
      </c>
      <c r="M54" s="49">
        <v>6</v>
      </c>
      <c r="N54" s="49">
        <v>6</v>
      </c>
      <c r="O54" s="49">
        <v>5.8</v>
      </c>
      <c r="P54" s="49">
        <v>6</v>
      </c>
      <c r="Q54" s="49">
        <v>6</v>
      </c>
      <c r="R54" s="49">
        <v>5.7</v>
      </c>
      <c r="S54" s="49">
        <v>4.7</v>
      </c>
      <c r="T54" s="49">
        <v>5</v>
      </c>
    </row>
    <row r="55" spans="1:20" s="53" customFormat="1" ht="15.75" customHeight="1" x14ac:dyDescent="0.25">
      <c r="A55" s="50">
        <v>1974</v>
      </c>
      <c r="B55" s="50">
        <v>12</v>
      </c>
      <c r="C55" s="51">
        <f t="shared" si="4"/>
        <v>5.875</v>
      </c>
      <c r="D55" s="51">
        <f t="shared" si="5"/>
        <v>70.5</v>
      </c>
      <c r="E55" s="49">
        <v>172.4</v>
      </c>
      <c r="F55" s="49">
        <f t="shared" si="6"/>
        <v>29.344680851063831</v>
      </c>
      <c r="G55" s="52">
        <f t="shared" si="7"/>
        <v>3.4077726218097446E-2</v>
      </c>
      <c r="I55" s="49">
        <v>5</v>
      </c>
      <c r="J55" s="49">
        <v>5.4</v>
      </c>
      <c r="K55" s="49">
        <v>6</v>
      </c>
      <c r="L55" s="49">
        <v>6</v>
      </c>
      <c r="M55" s="49">
        <v>6</v>
      </c>
      <c r="N55" s="49">
        <v>6.2</v>
      </c>
      <c r="O55" s="49">
        <v>6</v>
      </c>
      <c r="P55" s="49">
        <v>6</v>
      </c>
      <c r="Q55" s="49">
        <v>6</v>
      </c>
      <c r="R55" s="49">
        <v>4.0999999999999996</v>
      </c>
      <c r="S55" s="49">
        <v>4.8</v>
      </c>
      <c r="T55" s="49">
        <v>9</v>
      </c>
    </row>
    <row r="56" spans="1:20" s="53" customFormat="1" ht="15.75" customHeight="1" x14ac:dyDescent="0.25">
      <c r="A56" s="50">
        <v>1975</v>
      </c>
      <c r="B56" s="50">
        <v>12</v>
      </c>
      <c r="C56" s="51">
        <f t="shared" si="4"/>
        <v>0.31666666666666665</v>
      </c>
      <c r="D56" s="51">
        <f t="shared" si="5"/>
        <v>3.8</v>
      </c>
      <c r="E56" s="49">
        <v>172.4</v>
      </c>
      <c r="F56" s="49">
        <f t="shared" si="6"/>
        <v>544.42105263157896</v>
      </c>
      <c r="G56" s="52">
        <f t="shared" si="7"/>
        <v>1.836813611755607E-3</v>
      </c>
      <c r="I56" s="49">
        <v>2.6</v>
      </c>
      <c r="J56" s="49">
        <v>0</v>
      </c>
      <c r="K56" s="49">
        <v>1.2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50">
        <v>1976</v>
      </c>
      <c r="B57" s="50">
        <v>12</v>
      </c>
      <c r="C57" s="51">
        <f t="shared" si="4"/>
        <v>0.42499999999999999</v>
      </c>
      <c r="D57" s="51">
        <f t="shared" si="5"/>
        <v>5.0999999999999996</v>
      </c>
      <c r="E57" s="49">
        <v>172.4</v>
      </c>
      <c r="F57" s="49">
        <f t="shared" si="6"/>
        <v>405.64705882352945</v>
      </c>
      <c r="G57" s="52">
        <f t="shared" si="7"/>
        <v>2.4651972157772621E-3</v>
      </c>
      <c r="I57" s="49">
        <v>0</v>
      </c>
      <c r="J57" s="49">
        <v>0</v>
      </c>
      <c r="K57" s="49">
        <v>0</v>
      </c>
      <c r="L57" s="49">
        <v>1.1000000000000001</v>
      </c>
      <c r="M57" s="49">
        <v>4</v>
      </c>
      <c r="N57" s="49">
        <v>0</v>
      </c>
      <c r="O57" s="49"/>
      <c r="P57" s="49"/>
      <c r="Q57" s="49"/>
      <c r="R57" s="49"/>
      <c r="S57" s="49"/>
      <c r="T57" s="49"/>
    </row>
    <row r="58" spans="1:20" s="53" customFormat="1" ht="15.75" customHeight="1" x14ac:dyDescent="0.25">
      <c r="A58" s="50">
        <v>1977</v>
      </c>
      <c r="B58" s="50"/>
      <c r="C58" s="51"/>
      <c r="D58" s="51"/>
      <c r="E58" s="49">
        <v>172.4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0" s="53" customFormat="1" ht="15.75" customHeight="1" x14ac:dyDescent="0.25">
      <c r="A59" s="50">
        <v>1978</v>
      </c>
      <c r="B59" s="50"/>
      <c r="C59" s="51"/>
      <c r="D59" s="51"/>
      <c r="E59" s="49">
        <v>172.4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0" s="53" customFormat="1" ht="15.75" customHeight="1" x14ac:dyDescent="0.25">
      <c r="A60" s="50">
        <v>1979</v>
      </c>
      <c r="B60" s="50"/>
      <c r="C60" s="51"/>
      <c r="D60" s="51"/>
      <c r="E60" s="49">
        <v>172.4</v>
      </c>
      <c r="F60" s="49"/>
      <c r="G60" s="52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</row>
    <row r="61" spans="1:20" s="53" customFormat="1" ht="15.75" customHeight="1" x14ac:dyDescent="0.25">
      <c r="A61" s="50">
        <v>1980</v>
      </c>
      <c r="B61" s="50"/>
      <c r="C61" s="51"/>
      <c r="D61" s="51"/>
      <c r="E61" s="49">
        <v>172.4</v>
      </c>
      <c r="F61" s="49"/>
      <c r="G61" s="52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s="53" customFormat="1" ht="15.75" customHeight="1" x14ac:dyDescent="0.25">
      <c r="A62" s="50">
        <v>1981</v>
      </c>
      <c r="B62" s="50"/>
      <c r="C62" s="51"/>
      <c r="D62" s="51"/>
      <c r="E62" s="49">
        <v>172.4</v>
      </c>
      <c r="F62" s="49"/>
      <c r="G62" s="52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</row>
    <row r="63" spans="1:20" s="53" customFormat="1" ht="15.75" customHeight="1" x14ac:dyDescent="0.25">
      <c r="A63" s="50">
        <v>1982</v>
      </c>
      <c r="B63" s="50">
        <v>12</v>
      </c>
      <c r="C63" s="51">
        <f t="shared" ref="C63" si="8">D63/B63</f>
        <v>0</v>
      </c>
      <c r="D63" s="51">
        <f t="shared" ref="D63" si="9">SUM(I63:T63)</f>
        <v>0</v>
      </c>
      <c r="E63" s="49">
        <v>172.4</v>
      </c>
      <c r="F63" s="49" t="e">
        <f t="shared" ref="F63" si="10">E63/C63</f>
        <v>#DIV/0!</v>
      </c>
      <c r="G63" s="52">
        <f t="shared" ref="G63" si="11">C63/E63</f>
        <v>0</v>
      </c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>
        <v>0</v>
      </c>
      <c r="T63" s="49">
        <v>0</v>
      </c>
    </row>
    <row r="64" spans="1:20" s="53" customFormat="1" ht="15.75" customHeight="1" x14ac:dyDescent="0.25">
      <c r="A64" s="50">
        <v>1983</v>
      </c>
      <c r="B64" s="50">
        <v>12</v>
      </c>
      <c r="C64" s="51">
        <f t="shared" ref="C64:C91" si="12">D64/B64</f>
        <v>0</v>
      </c>
      <c r="D64" s="51">
        <f t="shared" ref="D64" si="13">SUM(I64:T64)</f>
        <v>0</v>
      </c>
      <c r="E64" s="49">
        <v>172.4</v>
      </c>
      <c r="F64" s="49" t="e">
        <f t="shared" ref="F64" si="14">E64/C64</f>
        <v>#DIV/0!</v>
      </c>
      <c r="G64" s="52">
        <f t="shared" ref="G64" si="15">C64/E64</f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50">
        <v>1984</v>
      </c>
      <c r="B65" s="50">
        <v>12</v>
      </c>
      <c r="C65" s="51">
        <f t="shared" si="12"/>
        <v>1.3333333333333333</v>
      </c>
      <c r="D65" s="51">
        <f t="shared" ref="D65:D91" si="16">SUM(I65:T65)</f>
        <v>16</v>
      </c>
      <c r="E65" s="49">
        <v>172.4</v>
      </c>
      <c r="F65" s="49">
        <f t="shared" ref="F65:F91" si="17">E65/C65</f>
        <v>129.30000000000001</v>
      </c>
      <c r="G65" s="52">
        <f t="shared" ref="G65:G91" si="18">C65/E65</f>
        <v>7.7339520494972922E-3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8</v>
      </c>
      <c r="T65" s="49">
        <v>8</v>
      </c>
    </row>
    <row r="66" spans="1:20" s="53" customFormat="1" ht="15.75" customHeight="1" x14ac:dyDescent="0.25">
      <c r="A66" s="50">
        <v>1985</v>
      </c>
      <c r="B66" s="50">
        <v>12</v>
      </c>
      <c r="C66" s="51">
        <f t="shared" si="12"/>
        <v>8</v>
      </c>
      <c r="D66" s="51">
        <f t="shared" si="16"/>
        <v>96</v>
      </c>
      <c r="E66" s="49">
        <v>172.4</v>
      </c>
      <c r="F66" s="49">
        <f t="shared" si="17"/>
        <v>21.55</v>
      </c>
      <c r="G66" s="52">
        <f t="shared" si="18"/>
        <v>4.6403712296983757E-2</v>
      </c>
      <c r="I66" s="49">
        <v>8</v>
      </c>
      <c r="J66" s="49">
        <v>8</v>
      </c>
      <c r="K66" s="49">
        <v>8</v>
      </c>
      <c r="L66" s="49">
        <v>8</v>
      </c>
      <c r="M66" s="49">
        <v>8</v>
      </c>
      <c r="N66" s="49">
        <v>8</v>
      </c>
      <c r="O66" s="49">
        <v>8</v>
      </c>
      <c r="P66" s="49">
        <v>8</v>
      </c>
      <c r="Q66" s="49">
        <v>8</v>
      </c>
      <c r="R66" s="49">
        <v>8</v>
      </c>
      <c r="S66" s="49">
        <v>8</v>
      </c>
      <c r="T66" s="49">
        <v>8</v>
      </c>
    </row>
    <row r="67" spans="1:20" s="53" customFormat="1" ht="15.75" customHeight="1" x14ac:dyDescent="0.25">
      <c r="A67" s="50">
        <v>1986</v>
      </c>
      <c r="B67" s="50">
        <v>12</v>
      </c>
      <c r="C67" s="51">
        <f t="shared" si="12"/>
        <v>8</v>
      </c>
      <c r="D67" s="51">
        <f t="shared" si="16"/>
        <v>96</v>
      </c>
      <c r="E67" s="49">
        <v>172.4</v>
      </c>
      <c r="F67" s="49">
        <f t="shared" si="17"/>
        <v>21.55</v>
      </c>
      <c r="G67" s="52">
        <f t="shared" si="18"/>
        <v>4.6403712296983757E-2</v>
      </c>
      <c r="I67" s="49">
        <v>8</v>
      </c>
      <c r="J67" s="49">
        <v>8</v>
      </c>
      <c r="K67" s="49">
        <v>8</v>
      </c>
      <c r="L67" s="49">
        <v>8</v>
      </c>
      <c r="M67" s="49">
        <v>8</v>
      </c>
      <c r="N67" s="49">
        <v>8</v>
      </c>
      <c r="O67" s="49">
        <v>8</v>
      </c>
      <c r="P67" s="49">
        <v>8</v>
      </c>
      <c r="Q67" s="49">
        <v>8</v>
      </c>
      <c r="R67" s="49">
        <v>8</v>
      </c>
      <c r="S67" s="49">
        <v>8</v>
      </c>
      <c r="T67" s="49">
        <v>8</v>
      </c>
    </row>
    <row r="68" spans="1:20" s="53" customFormat="1" ht="15.75" customHeight="1" x14ac:dyDescent="0.25">
      <c r="A68" s="50">
        <v>1987</v>
      </c>
      <c r="B68" s="50">
        <v>12</v>
      </c>
      <c r="C68" s="51">
        <f t="shared" si="12"/>
        <v>6.666666666666667</v>
      </c>
      <c r="D68" s="51">
        <f t="shared" si="16"/>
        <v>80</v>
      </c>
      <c r="E68" s="49">
        <v>172.4</v>
      </c>
      <c r="F68" s="49">
        <f t="shared" si="17"/>
        <v>25.86</v>
      </c>
      <c r="G68" s="52">
        <f t="shared" si="18"/>
        <v>3.8669760247486466E-2</v>
      </c>
      <c r="I68" s="49">
        <v>8</v>
      </c>
      <c r="J68" s="49">
        <v>8</v>
      </c>
      <c r="K68" s="49">
        <v>8</v>
      </c>
      <c r="L68" s="49">
        <v>8</v>
      </c>
      <c r="M68" s="49">
        <v>8</v>
      </c>
      <c r="N68" s="49">
        <v>8</v>
      </c>
      <c r="O68" s="49">
        <v>8</v>
      </c>
      <c r="P68" s="49">
        <v>8</v>
      </c>
      <c r="Q68" s="49">
        <v>8</v>
      </c>
      <c r="R68" s="49">
        <v>8</v>
      </c>
      <c r="S68" s="49"/>
      <c r="T68" s="49"/>
    </row>
    <row r="69" spans="1:20" s="53" customFormat="1" ht="15.75" customHeight="1" x14ac:dyDescent="0.25">
      <c r="A69" s="50">
        <v>1988</v>
      </c>
      <c r="B69" s="50">
        <v>12</v>
      </c>
      <c r="C69" s="51">
        <f t="shared" si="12"/>
        <v>1.3333333333333333</v>
      </c>
      <c r="D69" s="51">
        <f t="shared" si="16"/>
        <v>16</v>
      </c>
      <c r="E69" s="49">
        <v>172.4</v>
      </c>
      <c r="F69" s="49">
        <f t="shared" si="17"/>
        <v>129.30000000000001</v>
      </c>
      <c r="G69" s="52">
        <f t="shared" si="18"/>
        <v>7.7339520494972922E-3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>
        <v>8</v>
      </c>
      <c r="T69" s="49">
        <v>8</v>
      </c>
    </row>
    <row r="70" spans="1:20" s="53" customFormat="1" ht="15.75" customHeight="1" x14ac:dyDescent="0.25">
      <c r="A70" s="50">
        <v>1989</v>
      </c>
      <c r="B70" s="50">
        <v>12</v>
      </c>
      <c r="C70" s="51">
        <f t="shared" si="12"/>
        <v>7.833333333333333</v>
      </c>
      <c r="D70" s="51">
        <f t="shared" si="16"/>
        <v>94</v>
      </c>
      <c r="E70" s="49">
        <v>172.4</v>
      </c>
      <c r="F70" s="49">
        <f t="shared" si="17"/>
        <v>22.008510638297874</v>
      </c>
      <c r="G70" s="52">
        <f t="shared" si="18"/>
        <v>4.5436968290796596E-2</v>
      </c>
      <c r="I70" s="49">
        <v>8</v>
      </c>
      <c r="J70" s="49">
        <v>8</v>
      </c>
      <c r="K70" s="49">
        <v>8</v>
      </c>
      <c r="L70" s="49">
        <v>8</v>
      </c>
      <c r="M70" s="49">
        <v>8</v>
      </c>
      <c r="N70" s="49">
        <v>8</v>
      </c>
      <c r="O70" s="49">
        <v>8</v>
      </c>
      <c r="P70" s="49">
        <v>8</v>
      </c>
      <c r="Q70" s="49">
        <v>8</v>
      </c>
      <c r="R70" s="49">
        <v>8</v>
      </c>
      <c r="S70" s="49">
        <v>7</v>
      </c>
      <c r="T70" s="49">
        <v>7</v>
      </c>
    </row>
    <row r="71" spans="1:20" s="53" customFormat="1" ht="15.75" customHeight="1" x14ac:dyDescent="0.25">
      <c r="A71" s="50">
        <v>1990</v>
      </c>
      <c r="B71" s="50">
        <v>12</v>
      </c>
      <c r="C71" s="51">
        <f t="shared" si="12"/>
        <v>7.5</v>
      </c>
      <c r="D71" s="51">
        <f t="shared" si="16"/>
        <v>90</v>
      </c>
      <c r="E71" s="49">
        <v>172.4</v>
      </c>
      <c r="F71" s="49">
        <f t="shared" si="17"/>
        <v>22.986666666666668</v>
      </c>
      <c r="G71" s="52">
        <f t="shared" si="18"/>
        <v>4.3503480278422275E-2</v>
      </c>
      <c r="I71" s="49">
        <v>7</v>
      </c>
      <c r="J71" s="49">
        <v>7</v>
      </c>
      <c r="K71" s="49">
        <v>7</v>
      </c>
      <c r="L71" s="49">
        <v>7</v>
      </c>
      <c r="M71" s="49">
        <v>7</v>
      </c>
      <c r="N71" s="49">
        <v>7</v>
      </c>
      <c r="O71" s="49">
        <v>7</v>
      </c>
      <c r="P71" s="49">
        <v>7</v>
      </c>
      <c r="Q71" s="49">
        <v>7</v>
      </c>
      <c r="R71" s="49">
        <v>7</v>
      </c>
      <c r="S71" s="49">
        <v>10</v>
      </c>
      <c r="T71" s="49">
        <v>10</v>
      </c>
    </row>
    <row r="72" spans="1:20" s="53" customFormat="1" ht="15.75" customHeight="1" x14ac:dyDescent="0.25">
      <c r="A72" s="50">
        <v>1991</v>
      </c>
      <c r="B72" s="50">
        <v>12</v>
      </c>
      <c r="C72" s="51">
        <f t="shared" si="12"/>
        <v>10</v>
      </c>
      <c r="D72" s="51">
        <f t="shared" si="16"/>
        <v>120</v>
      </c>
      <c r="E72" s="49">
        <v>172.4</v>
      </c>
      <c r="F72" s="49">
        <f t="shared" si="17"/>
        <v>17.240000000000002</v>
      </c>
      <c r="G72" s="52">
        <f t="shared" si="18"/>
        <v>5.8004640371229696E-2</v>
      </c>
      <c r="I72" s="49">
        <v>10</v>
      </c>
      <c r="J72" s="49">
        <v>10</v>
      </c>
      <c r="K72" s="49">
        <v>10</v>
      </c>
      <c r="L72" s="49">
        <v>10</v>
      </c>
      <c r="M72" s="49">
        <v>10</v>
      </c>
      <c r="N72" s="49">
        <v>10</v>
      </c>
      <c r="O72" s="49">
        <v>10</v>
      </c>
      <c r="P72" s="49">
        <v>10</v>
      </c>
      <c r="Q72" s="49">
        <v>10</v>
      </c>
      <c r="R72" s="49">
        <v>10</v>
      </c>
      <c r="S72" s="49">
        <v>10</v>
      </c>
      <c r="T72" s="49">
        <v>10</v>
      </c>
    </row>
    <row r="73" spans="1:20" s="53" customFormat="1" ht="15.75" customHeight="1" x14ac:dyDescent="0.25">
      <c r="A73" s="50">
        <v>1992</v>
      </c>
      <c r="B73" s="50">
        <v>12</v>
      </c>
      <c r="C73" s="51">
        <f t="shared" si="12"/>
        <v>10.833333333333334</v>
      </c>
      <c r="D73" s="51">
        <f t="shared" si="16"/>
        <v>130</v>
      </c>
      <c r="E73" s="49">
        <v>172.4</v>
      </c>
      <c r="F73" s="49">
        <f t="shared" si="17"/>
        <v>15.913846153846153</v>
      </c>
      <c r="G73" s="52">
        <f t="shared" si="18"/>
        <v>6.2838360402165505E-2</v>
      </c>
      <c r="I73" s="49">
        <v>10</v>
      </c>
      <c r="J73" s="49">
        <v>10</v>
      </c>
      <c r="K73" s="49">
        <v>10</v>
      </c>
      <c r="L73" s="49">
        <v>10</v>
      </c>
      <c r="M73" s="49">
        <v>10</v>
      </c>
      <c r="N73" s="49">
        <v>10</v>
      </c>
      <c r="O73" s="49">
        <v>10</v>
      </c>
      <c r="P73" s="49">
        <v>10</v>
      </c>
      <c r="Q73" s="49">
        <v>10</v>
      </c>
      <c r="R73" s="49">
        <v>10</v>
      </c>
      <c r="S73" s="49">
        <v>15</v>
      </c>
      <c r="T73" s="49">
        <v>15</v>
      </c>
    </row>
    <row r="74" spans="1:20" s="53" customFormat="1" ht="15.75" customHeight="1" x14ac:dyDescent="0.25">
      <c r="A74" s="50">
        <v>1993</v>
      </c>
      <c r="B74" s="50">
        <v>12</v>
      </c>
      <c r="C74" s="51">
        <f t="shared" si="12"/>
        <v>15.166666666666666</v>
      </c>
      <c r="D74" s="51">
        <f t="shared" si="16"/>
        <v>182</v>
      </c>
      <c r="E74" s="49">
        <v>172.4</v>
      </c>
      <c r="F74" s="49">
        <f t="shared" si="17"/>
        <v>11.367032967032968</v>
      </c>
      <c r="G74" s="52">
        <f t="shared" si="18"/>
        <v>8.7973704563031704E-2</v>
      </c>
      <c r="I74" s="49">
        <v>15</v>
      </c>
      <c r="J74" s="49">
        <v>15</v>
      </c>
      <c r="K74" s="49">
        <v>16.5</v>
      </c>
      <c r="L74" s="49">
        <v>16.5</v>
      </c>
      <c r="M74" s="49">
        <v>16.5</v>
      </c>
      <c r="N74" s="49">
        <v>16.5</v>
      </c>
      <c r="O74" s="49">
        <v>16.5</v>
      </c>
      <c r="P74" s="49">
        <v>16.5</v>
      </c>
      <c r="Q74" s="49">
        <v>16.5</v>
      </c>
      <c r="R74" s="49">
        <v>16.5</v>
      </c>
      <c r="S74" s="49">
        <v>10</v>
      </c>
      <c r="T74" s="49">
        <v>10</v>
      </c>
    </row>
    <row r="75" spans="1:20" s="53" customFormat="1" ht="15.75" customHeight="1" x14ac:dyDescent="0.25">
      <c r="A75" s="50">
        <v>1994</v>
      </c>
      <c r="B75" s="50">
        <v>12</v>
      </c>
      <c r="C75" s="51">
        <f t="shared" si="12"/>
        <v>10.25</v>
      </c>
      <c r="D75" s="51">
        <f t="shared" si="16"/>
        <v>123</v>
      </c>
      <c r="E75" s="49">
        <v>172.4</v>
      </c>
      <c r="F75" s="49">
        <f t="shared" si="17"/>
        <v>16.819512195121952</v>
      </c>
      <c r="G75" s="52">
        <f t="shared" si="18"/>
        <v>5.945475638051044E-2</v>
      </c>
      <c r="I75" s="49">
        <v>10</v>
      </c>
      <c r="J75" s="49">
        <v>10</v>
      </c>
      <c r="K75" s="49">
        <v>10</v>
      </c>
      <c r="L75" s="49">
        <v>10</v>
      </c>
      <c r="M75" s="49">
        <v>10</v>
      </c>
      <c r="N75" s="49">
        <v>10</v>
      </c>
      <c r="O75" s="49">
        <v>10</v>
      </c>
      <c r="P75" s="49">
        <v>10</v>
      </c>
      <c r="Q75" s="49">
        <v>10</v>
      </c>
      <c r="R75" s="49">
        <v>10</v>
      </c>
      <c r="S75" s="49">
        <v>11.5</v>
      </c>
      <c r="T75" s="49">
        <v>11.5</v>
      </c>
    </row>
    <row r="76" spans="1:20" s="53" customFormat="1" ht="15.75" customHeight="1" x14ac:dyDescent="0.25">
      <c r="A76" s="50">
        <v>1995</v>
      </c>
      <c r="B76" s="50">
        <v>12</v>
      </c>
      <c r="C76" s="51">
        <f t="shared" si="12"/>
        <v>9.5833333333333339</v>
      </c>
      <c r="D76" s="51">
        <f>SUM(I76:T76)</f>
        <v>115</v>
      </c>
      <c r="E76" s="49">
        <v>172.4</v>
      </c>
      <c r="F76" s="49">
        <f t="shared" si="17"/>
        <v>17.989565217391302</v>
      </c>
      <c r="G76" s="52">
        <f t="shared" si="18"/>
        <v>5.5587780355761798E-2</v>
      </c>
      <c r="I76" s="49">
        <v>11.5</v>
      </c>
      <c r="J76" s="49">
        <v>11.5</v>
      </c>
      <c r="K76" s="49">
        <v>11.5</v>
      </c>
      <c r="L76" s="49">
        <v>11.5</v>
      </c>
      <c r="M76" s="49">
        <v>11.5</v>
      </c>
      <c r="N76" s="49">
        <v>11.5</v>
      </c>
      <c r="O76" s="49">
        <v>11.5</v>
      </c>
      <c r="P76" s="49">
        <v>11.5</v>
      </c>
      <c r="Q76" s="49">
        <v>11.5</v>
      </c>
      <c r="R76" s="49">
        <v>11.5</v>
      </c>
      <c r="S76" s="49">
        <v>0</v>
      </c>
      <c r="T76" s="49">
        <v>0</v>
      </c>
    </row>
    <row r="77" spans="1:20" s="53" customFormat="1" ht="15.75" customHeight="1" x14ac:dyDescent="0.25">
      <c r="A77" s="50">
        <v>1996</v>
      </c>
      <c r="B77" s="50">
        <v>12</v>
      </c>
      <c r="C77" s="51">
        <f t="shared" si="12"/>
        <v>0</v>
      </c>
      <c r="D77" s="51">
        <f t="shared" si="16"/>
        <v>0</v>
      </c>
      <c r="E77" s="49">
        <v>86.75</v>
      </c>
      <c r="F77" s="49" t="e">
        <f t="shared" si="17"/>
        <v>#DIV/0!</v>
      </c>
      <c r="G77" s="52">
        <f t="shared" si="18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50">
        <v>1997</v>
      </c>
      <c r="B78" s="50">
        <v>12</v>
      </c>
      <c r="C78" s="51">
        <f t="shared" si="12"/>
        <v>0</v>
      </c>
      <c r="D78" s="51">
        <f t="shared" si="16"/>
        <v>0</v>
      </c>
      <c r="E78" s="49">
        <v>86.75</v>
      </c>
      <c r="F78" s="49" t="e">
        <f t="shared" si="17"/>
        <v>#DIV/0!</v>
      </c>
      <c r="G78" s="52">
        <f t="shared" si="18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50">
        <v>1998</v>
      </c>
      <c r="B79" s="50">
        <v>12</v>
      </c>
      <c r="C79" s="51">
        <f t="shared" si="12"/>
        <v>0</v>
      </c>
      <c r="D79" s="51">
        <f t="shared" si="16"/>
        <v>0</v>
      </c>
      <c r="E79" s="49">
        <v>86.75</v>
      </c>
      <c r="F79" s="49" t="e">
        <f t="shared" si="17"/>
        <v>#DIV/0!</v>
      </c>
      <c r="G79" s="52">
        <f t="shared" si="18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50">
        <v>1999</v>
      </c>
      <c r="B80" s="50">
        <v>12</v>
      </c>
      <c r="C80" s="51">
        <f t="shared" si="12"/>
        <v>0</v>
      </c>
      <c r="D80" s="51">
        <f t="shared" si="16"/>
        <v>0</v>
      </c>
      <c r="E80" s="49">
        <v>86.75</v>
      </c>
      <c r="F80" s="49" t="e">
        <f t="shared" si="17"/>
        <v>#DIV/0!</v>
      </c>
      <c r="G80" s="52">
        <f t="shared" si="18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50">
        <v>2000</v>
      </c>
      <c r="B81" s="50">
        <v>12</v>
      </c>
      <c r="C81" s="51">
        <f t="shared" si="12"/>
        <v>0</v>
      </c>
      <c r="D81" s="51">
        <f t="shared" si="16"/>
        <v>0</v>
      </c>
      <c r="E81" s="49">
        <v>86.75</v>
      </c>
      <c r="F81" s="49" t="e">
        <f t="shared" si="17"/>
        <v>#DIV/0!</v>
      </c>
      <c r="G81" s="52">
        <f t="shared" si="18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50">
        <v>2001</v>
      </c>
      <c r="B82" s="50">
        <v>12</v>
      </c>
      <c r="C82" s="51">
        <f t="shared" si="12"/>
        <v>0</v>
      </c>
      <c r="D82" s="51">
        <f t="shared" si="16"/>
        <v>0</v>
      </c>
      <c r="E82" s="49">
        <v>86.75</v>
      </c>
      <c r="F82" s="49" t="e">
        <f t="shared" si="17"/>
        <v>#DIV/0!</v>
      </c>
      <c r="G82" s="52">
        <f t="shared" si="18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50">
        <v>2002</v>
      </c>
      <c r="B83" s="50">
        <v>12</v>
      </c>
      <c r="C83" s="51">
        <f t="shared" si="12"/>
        <v>0</v>
      </c>
      <c r="D83" s="51">
        <f t="shared" si="16"/>
        <v>0</v>
      </c>
      <c r="E83" s="49">
        <v>86.75</v>
      </c>
      <c r="F83" s="49" t="e">
        <f t="shared" si="17"/>
        <v>#DIV/0!</v>
      </c>
      <c r="G83" s="52">
        <f t="shared" si="18"/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50">
        <v>2003</v>
      </c>
      <c r="B84" s="50">
        <v>12</v>
      </c>
      <c r="C84" s="51">
        <f t="shared" si="12"/>
        <v>0</v>
      </c>
      <c r="D84" s="51">
        <f t="shared" si="16"/>
        <v>0</v>
      </c>
      <c r="E84" s="49">
        <v>86.75</v>
      </c>
      <c r="F84" s="49" t="e">
        <f t="shared" si="17"/>
        <v>#DIV/0!</v>
      </c>
      <c r="G84" s="52">
        <f t="shared" si="18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50">
        <v>2004</v>
      </c>
      <c r="B85" s="50">
        <v>12</v>
      </c>
      <c r="C85" s="51">
        <f t="shared" si="12"/>
        <v>0</v>
      </c>
      <c r="D85" s="51">
        <f t="shared" si="16"/>
        <v>0</v>
      </c>
      <c r="E85" s="49">
        <v>86.75</v>
      </c>
      <c r="F85" s="49" t="e">
        <f t="shared" si="17"/>
        <v>#DIV/0!</v>
      </c>
      <c r="G85" s="52">
        <f t="shared" si="18"/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2005</v>
      </c>
      <c r="B86" s="50">
        <v>12</v>
      </c>
      <c r="C86" s="51">
        <f t="shared" si="12"/>
        <v>0</v>
      </c>
      <c r="D86" s="51">
        <f t="shared" si="16"/>
        <v>0</v>
      </c>
      <c r="E86" s="49">
        <v>86.75</v>
      </c>
      <c r="F86" s="49" t="e">
        <f t="shared" si="17"/>
        <v>#DIV/0!</v>
      </c>
      <c r="G86" s="52">
        <f t="shared" si="18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50">
        <v>2006</v>
      </c>
      <c r="B87" s="50">
        <v>12</v>
      </c>
      <c r="C87" s="51">
        <f t="shared" si="12"/>
        <v>0</v>
      </c>
      <c r="D87" s="51">
        <f t="shared" si="16"/>
        <v>0</v>
      </c>
      <c r="E87" s="49">
        <v>86.75</v>
      </c>
      <c r="F87" s="49" t="e">
        <f t="shared" si="17"/>
        <v>#DIV/0!</v>
      </c>
      <c r="G87" s="52">
        <f t="shared" si="18"/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2007</v>
      </c>
      <c r="B88" s="50">
        <v>12</v>
      </c>
      <c r="C88" s="51">
        <f t="shared" si="12"/>
        <v>1.7333333333333334</v>
      </c>
      <c r="D88" s="51">
        <f t="shared" si="16"/>
        <v>20.8</v>
      </c>
      <c r="E88" s="49">
        <v>86.75</v>
      </c>
      <c r="F88" s="49">
        <f t="shared" si="17"/>
        <v>50.04807692307692</v>
      </c>
      <c r="G88" s="52">
        <f t="shared" si="18"/>
        <v>1.9980787704130646E-2</v>
      </c>
      <c r="I88" s="49">
        <v>0</v>
      </c>
      <c r="J88" s="49">
        <v>0</v>
      </c>
      <c r="K88" s="49">
        <v>20.8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2008</v>
      </c>
      <c r="B89" s="50">
        <v>12</v>
      </c>
      <c r="C89" s="51">
        <f t="shared" si="12"/>
        <v>3.2583333333333329</v>
      </c>
      <c r="D89" s="51">
        <f t="shared" si="16"/>
        <v>39.099999999999994</v>
      </c>
      <c r="E89" s="49">
        <v>86.75</v>
      </c>
      <c r="F89" s="49">
        <f t="shared" si="17"/>
        <v>26.624040920716116</v>
      </c>
      <c r="G89" s="52">
        <f t="shared" si="18"/>
        <v>3.7560038424591734E-2</v>
      </c>
      <c r="I89" s="49">
        <v>0</v>
      </c>
      <c r="J89" s="49">
        <v>17.399999999999999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21.7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2009</v>
      </c>
      <c r="B90" s="50">
        <v>12</v>
      </c>
      <c r="C90" s="51">
        <f t="shared" si="12"/>
        <v>1.2699999999999998</v>
      </c>
      <c r="D90" s="51">
        <f t="shared" si="16"/>
        <v>15.239999999999998</v>
      </c>
      <c r="E90" s="49">
        <v>86.75</v>
      </c>
      <c r="F90" s="49">
        <f t="shared" si="17"/>
        <v>68.307086614173244</v>
      </c>
      <c r="G90" s="52">
        <f t="shared" si="18"/>
        <v>1.4639769452449566E-2</v>
      </c>
      <c r="I90" s="49">
        <v>0</v>
      </c>
      <c r="J90" s="49">
        <v>4.6399999999999997</v>
      </c>
      <c r="K90" s="49">
        <v>10.6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2010</v>
      </c>
      <c r="B91" s="50">
        <v>12</v>
      </c>
      <c r="C91" s="51">
        <f t="shared" si="12"/>
        <v>1.325</v>
      </c>
      <c r="D91" s="51">
        <f t="shared" si="16"/>
        <v>15.9</v>
      </c>
      <c r="E91" s="49">
        <v>86.75</v>
      </c>
      <c r="F91" s="49">
        <f t="shared" si="17"/>
        <v>65.471698113207552</v>
      </c>
      <c r="G91" s="52">
        <f t="shared" si="18"/>
        <v>1.5273775216138328E-2</v>
      </c>
      <c r="I91" s="49">
        <v>9.5</v>
      </c>
      <c r="J91" s="49">
        <v>6.4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2011</v>
      </c>
      <c r="B92" s="50">
        <v>12</v>
      </c>
      <c r="C92" s="51">
        <f t="shared" ref="C92:C101" si="19">D92/B92</f>
        <v>0</v>
      </c>
      <c r="D92" s="51">
        <f t="shared" ref="D92:D101" si="20">SUM(I92:T92)</f>
        <v>0</v>
      </c>
      <c r="E92" s="49">
        <v>86.75</v>
      </c>
      <c r="F92" s="49" t="e">
        <f t="shared" ref="F92:F101" si="21">E92/C92</f>
        <v>#DIV/0!</v>
      </c>
      <c r="G92" s="52">
        <f t="shared" ref="G92:G101" si="22">C92/E92</f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50">
        <v>2012</v>
      </c>
      <c r="B93" s="50">
        <v>12</v>
      </c>
      <c r="C93" s="51">
        <f t="shared" si="19"/>
        <v>1.1666666666666667</v>
      </c>
      <c r="D93" s="51">
        <f t="shared" si="20"/>
        <v>14</v>
      </c>
      <c r="E93" s="49">
        <v>86.75</v>
      </c>
      <c r="F93" s="49">
        <f t="shared" si="21"/>
        <v>74.357142857142847</v>
      </c>
      <c r="G93" s="52">
        <f t="shared" si="22"/>
        <v>1.3448607108549473E-2</v>
      </c>
      <c r="I93" s="49">
        <v>0</v>
      </c>
      <c r="J93" s="49">
        <v>0</v>
      </c>
      <c r="K93" s="49">
        <v>0</v>
      </c>
      <c r="L93" s="49">
        <v>14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2013</v>
      </c>
      <c r="B94" s="50">
        <v>12</v>
      </c>
      <c r="C94" s="51">
        <f t="shared" si="19"/>
        <v>1.8833333333333335</v>
      </c>
      <c r="D94" s="51">
        <f t="shared" si="20"/>
        <v>22.6</v>
      </c>
      <c r="E94" s="49">
        <v>86.75</v>
      </c>
      <c r="F94" s="49">
        <f t="shared" si="21"/>
        <v>46.06194690265486</v>
      </c>
      <c r="G94" s="52">
        <f t="shared" si="22"/>
        <v>2.170989433237272E-2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22.6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2014</v>
      </c>
      <c r="B95" s="50">
        <v>12</v>
      </c>
      <c r="C95" s="51">
        <f t="shared" si="19"/>
        <v>2.1083333333333334</v>
      </c>
      <c r="D95" s="51">
        <f t="shared" si="20"/>
        <v>25.3</v>
      </c>
      <c r="E95" s="49">
        <v>86.75</v>
      </c>
      <c r="F95" s="49">
        <f t="shared" si="21"/>
        <v>41.146245059288539</v>
      </c>
      <c r="G95" s="52">
        <f t="shared" si="22"/>
        <v>2.4303554274735833E-2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16.3</v>
      </c>
      <c r="O95" s="49">
        <v>9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2015</v>
      </c>
      <c r="B96" s="50">
        <v>12</v>
      </c>
      <c r="C96" s="51">
        <f t="shared" si="19"/>
        <v>2.0583333333333331</v>
      </c>
      <c r="D96" s="51">
        <f t="shared" si="20"/>
        <v>24.7</v>
      </c>
      <c r="E96" s="49">
        <v>86.75</v>
      </c>
      <c r="F96" s="49">
        <f t="shared" si="21"/>
        <v>42.145748987854255</v>
      </c>
      <c r="G96" s="52">
        <f t="shared" si="22"/>
        <v>2.3727185398655138E-2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24.7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2016</v>
      </c>
      <c r="B97" s="50">
        <v>12</v>
      </c>
      <c r="C97" s="51">
        <f t="shared" si="19"/>
        <v>1.9583333333333333</v>
      </c>
      <c r="D97" s="51">
        <f t="shared" si="20"/>
        <v>23.5</v>
      </c>
      <c r="E97" s="49">
        <v>86.75</v>
      </c>
      <c r="F97" s="49">
        <f t="shared" si="21"/>
        <v>44.297872340425535</v>
      </c>
      <c r="G97" s="52">
        <f t="shared" si="22"/>
        <v>2.2574447646493755E-2</v>
      </c>
      <c r="I97" s="49">
        <v>23.5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2017</v>
      </c>
      <c r="B98" s="50">
        <v>12</v>
      </c>
      <c r="C98" s="51">
        <f t="shared" si="19"/>
        <v>1.7633333333333334</v>
      </c>
      <c r="D98" s="51">
        <f t="shared" si="20"/>
        <v>21.16</v>
      </c>
      <c r="E98" s="49">
        <v>86.75</v>
      </c>
      <c r="F98" s="49">
        <f t="shared" si="21"/>
        <v>49.196597353497161</v>
      </c>
      <c r="G98" s="52">
        <f t="shared" si="22"/>
        <v>2.032660902977906E-2</v>
      </c>
      <c r="I98" s="49">
        <v>21.16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2018</v>
      </c>
      <c r="B99" s="50">
        <v>12</v>
      </c>
      <c r="C99" s="51">
        <f t="shared" si="19"/>
        <v>5.0249999999999995</v>
      </c>
      <c r="D99" s="51">
        <f t="shared" si="20"/>
        <v>60.3</v>
      </c>
      <c r="E99" s="49">
        <v>86.75</v>
      </c>
      <c r="F99" s="49">
        <f t="shared" si="21"/>
        <v>17.263681592039802</v>
      </c>
      <c r="G99" s="52">
        <f t="shared" si="22"/>
        <v>5.7925072046109506E-2</v>
      </c>
      <c r="I99" s="49">
        <v>60.3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2019</v>
      </c>
      <c r="B100" s="50">
        <v>12</v>
      </c>
      <c r="C100" s="51">
        <f t="shared" si="19"/>
        <v>2.8583333333333329</v>
      </c>
      <c r="D100" s="51">
        <f t="shared" si="20"/>
        <v>34.299999999999997</v>
      </c>
      <c r="E100" s="49">
        <v>86.75</v>
      </c>
      <c r="F100" s="49">
        <f t="shared" si="21"/>
        <v>30.349854227405253</v>
      </c>
      <c r="G100" s="52">
        <f t="shared" si="22"/>
        <v>3.2949087415946203E-2</v>
      </c>
      <c r="I100" s="49">
        <v>0</v>
      </c>
      <c r="J100" s="49">
        <v>34.299999999999997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2020</v>
      </c>
      <c r="B101" s="50">
        <v>12</v>
      </c>
      <c r="C101" s="51">
        <f t="shared" si="19"/>
        <v>1.55</v>
      </c>
      <c r="D101" s="51">
        <f t="shared" si="20"/>
        <v>18.600000000000001</v>
      </c>
      <c r="E101" s="49">
        <v>86.75</v>
      </c>
      <c r="F101" s="49">
        <f t="shared" si="21"/>
        <v>55.967741935483872</v>
      </c>
      <c r="G101" s="52">
        <f t="shared" si="22"/>
        <v>1.7867435158501442E-2</v>
      </c>
      <c r="I101" s="49">
        <v>0</v>
      </c>
      <c r="J101" s="49">
        <v>10.9</v>
      </c>
      <c r="K101" s="49">
        <v>7.7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2021</v>
      </c>
      <c r="B102" s="50">
        <v>12</v>
      </c>
      <c r="C102" s="51">
        <f t="shared" ref="C102" si="23">D102/B102</f>
        <v>1.5</v>
      </c>
      <c r="D102" s="51">
        <f t="shared" ref="D102" si="24">SUM(I102:T102)</f>
        <v>18</v>
      </c>
      <c r="E102" s="49">
        <v>86.75</v>
      </c>
      <c r="F102" s="49">
        <f t="shared" ref="F102" si="25">E102/C102</f>
        <v>57.833333333333336</v>
      </c>
      <c r="G102" s="52">
        <f t="shared" ref="G102" si="26">C102/E102</f>
        <v>1.7291066282420751E-2</v>
      </c>
      <c r="I102" s="54">
        <v>0</v>
      </c>
      <c r="J102" s="54">
        <v>0</v>
      </c>
      <c r="K102" s="54">
        <v>4.4000000000000004</v>
      </c>
      <c r="L102" s="54">
        <v>13.6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ht="15.75" customHeight="1" x14ac:dyDescent="0.25">
      <c r="A103" s="50">
        <v>2022</v>
      </c>
      <c r="B103" s="50">
        <v>12</v>
      </c>
      <c r="C103" s="51">
        <f t="shared" ref="C103:C104" si="27">D103/B103</f>
        <v>1.875</v>
      </c>
      <c r="D103" s="51">
        <f t="shared" ref="D103:D104" si="28">SUM(I103:T103)</f>
        <v>22.5</v>
      </c>
      <c r="E103" s="49">
        <v>86.75</v>
      </c>
      <c r="F103" s="49">
        <f t="shared" ref="F103:F104" si="29">E103/C103</f>
        <v>46.266666666666666</v>
      </c>
      <c r="G103" s="52">
        <f t="shared" ref="G103:G104" si="30">C103/E103</f>
        <v>2.1613832853025938E-2</v>
      </c>
      <c r="I103" s="54">
        <v>0</v>
      </c>
      <c r="J103" s="54">
        <v>0</v>
      </c>
      <c r="K103" s="54">
        <v>22.5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</row>
    <row r="104" spans="1:20" ht="15.75" customHeight="1" x14ac:dyDescent="0.25">
      <c r="A104" s="50">
        <v>2023</v>
      </c>
      <c r="B104" s="50">
        <v>12</v>
      </c>
      <c r="C104" s="51">
        <f t="shared" si="27"/>
        <v>2.8666666666666667</v>
      </c>
      <c r="D104" s="51">
        <f t="shared" si="28"/>
        <v>34.4</v>
      </c>
      <c r="E104" s="49">
        <v>86.75</v>
      </c>
      <c r="F104" s="49">
        <f t="shared" si="29"/>
        <v>30.261627906976745</v>
      </c>
      <c r="G104" s="52">
        <f t="shared" si="30"/>
        <v>3.3045148895292989E-2</v>
      </c>
      <c r="I104" s="54">
        <v>0</v>
      </c>
      <c r="J104" s="54">
        <v>0</v>
      </c>
      <c r="K104" s="54">
        <v>23.5</v>
      </c>
      <c r="L104" s="54">
        <v>10.9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ht="15.75" customHeight="1" x14ac:dyDescent="0.25">
      <c r="A105" s="50">
        <v>2024</v>
      </c>
      <c r="B105" s="50">
        <v>12</v>
      </c>
      <c r="C105" s="51">
        <f t="shared" ref="C105" si="31">D105/B105</f>
        <v>3.1451612903225805</v>
      </c>
      <c r="D105" s="51">
        <f t="shared" ref="D105" si="32">SUM(I105:T105)</f>
        <v>37.741935483870968</v>
      </c>
      <c r="E105" s="49">
        <v>86.75</v>
      </c>
      <c r="F105" s="49">
        <f>E105/C105</f>
        <v>27.582051282051282</v>
      </c>
      <c r="G105" s="52">
        <f>C105/E105</f>
        <v>3.6255461559914472E-2</v>
      </c>
      <c r="I105" s="54">
        <v>0</v>
      </c>
      <c r="J105" s="54">
        <v>0</v>
      </c>
      <c r="K105" s="54">
        <v>37.741935483870968</v>
      </c>
      <c r="L105" s="54">
        <v>0</v>
      </c>
      <c r="M105" s="54">
        <v>0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</row>
    <row r="106" spans="1:20" ht="15.75" customHeight="1" x14ac:dyDescent="0.25">
      <c r="A106" s="16">
        <v>2025</v>
      </c>
      <c r="B106" s="9">
        <v>12</v>
      </c>
      <c r="C106" s="51">
        <f t="shared" ref="C106" si="33">D106/B106</f>
        <v>0</v>
      </c>
      <c r="D106" s="51">
        <f t="shared" ref="D106" si="34">SUM(I106:T106)</f>
        <v>0</v>
      </c>
      <c r="E106" s="49">
        <v>86.75</v>
      </c>
      <c r="F106" s="49" t="e">
        <f>E106/C106</f>
        <v>#DIV/0!</v>
      </c>
      <c r="G106" s="52">
        <f>C106/E106</f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0"/>
  <sheetViews>
    <sheetView zoomScale="80" zoomScaleNormal="80" zoomScaleSheetLayoutView="75" workbookViewId="0">
      <pane ySplit="1440" topLeftCell="A84" activePane="bottomLeft"/>
      <selection activeCell="R119" sqref="R119"/>
      <selection pane="bottomLeft" activeCell="A120" sqref="A120:XFD120"/>
    </sheetView>
  </sheetViews>
  <sheetFormatPr defaultColWidth="8.88671875" defaultRowHeight="15.75" customHeight="1" x14ac:dyDescent="0.25"/>
  <cols>
    <col min="1" max="1" width="8.6640625" style="3" customWidth="1"/>
    <col min="2" max="2" width="9.44140625" style="3" customWidth="1"/>
    <col min="3" max="3" width="11.6640625" style="18" customWidth="1"/>
    <col min="4" max="4" width="12.33203125" style="18" customWidth="1"/>
    <col min="5" max="5" width="16" style="19" bestFit="1" customWidth="1"/>
    <col min="6" max="6" width="10" style="19" bestFit="1" customWidth="1"/>
    <col min="7" max="7" width="9.88671875" style="20" customWidth="1"/>
    <col min="8" max="8" width="8.88671875" style="3" customWidth="1"/>
    <col min="9" max="9" width="9.44140625" style="19" bestFit="1" customWidth="1"/>
    <col min="10" max="10" width="10.44140625" style="19" bestFit="1" customWidth="1"/>
    <col min="11" max="14" width="8.88671875" style="19"/>
    <col min="15" max="15" width="8.5546875" style="19" bestFit="1" customWidth="1"/>
    <col min="16" max="16" width="8.88671875" style="19"/>
    <col min="17" max="17" width="12.109375" style="19" customWidth="1"/>
    <col min="18" max="18" width="9.44140625" style="19" bestFit="1" customWidth="1"/>
    <col min="19" max="19" width="12.109375" style="19" bestFit="1" customWidth="1"/>
    <col min="20" max="20" width="12.33203125" style="19" bestFit="1" customWidth="1"/>
    <col min="21" max="16384" width="8.88671875" style="3"/>
  </cols>
  <sheetData>
    <row r="1" spans="1:21" ht="15" customHeight="1" x14ac:dyDescent="0.25">
      <c r="A1" s="125" t="s">
        <v>52</v>
      </c>
      <c r="B1" s="125"/>
      <c r="C1" s="125"/>
      <c r="D1" s="125"/>
      <c r="E1" s="125"/>
      <c r="F1" s="125"/>
      <c r="G1" s="125"/>
      <c r="I1" s="124" t="s">
        <v>14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1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6" t="s">
        <v>92</v>
      </c>
      <c r="F2" s="6" t="s">
        <v>93</v>
      </c>
      <c r="G2" s="7" t="s">
        <v>94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1" s="15" customFormat="1" ht="15.75" customHeight="1" x14ac:dyDescent="0.3">
      <c r="A3" s="9">
        <v>1908</v>
      </c>
      <c r="B3" s="9">
        <v>12</v>
      </c>
      <c r="C3" s="10">
        <f t="shared" ref="C3:C66" si="0">D3/B3</f>
        <v>55.03279569892473</v>
      </c>
      <c r="D3" s="10">
        <f t="shared" ref="D3:D66" si="1">SUM(I3:T3)</f>
        <v>660.39354838709676</v>
      </c>
      <c r="E3" s="11">
        <v>316.62</v>
      </c>
      <c r="F3" s="11">
        <f t="shared" ref="F3:F66" si="2">E3/C3</f>
        <v>5.7532966657222966</v>
      </c>
      <c r="G3" s="12">
        <f>C3/E3</f>
        <v>0.17381339049625649</v>
      </c>
      <c r="H3" s="13"/>
      <c r="I3" s="14"/>
      <c r="J3" s="14"/>
      <c r="K3" s="14"/>
      <c r="L3" s="14"/>
      <c r="M3" s="14"/>
      <c r="N3" s="14"/>
      <c r="O3" s="14">
        <f>3988/31</f>
        <v>128.64516129032259</v>
      </c>
      <c r="P3" s="14">
        <f>3768/31</f>
        <v>121.54838709677419</v>
      </c>
      <c r="Q3" s="14">
        <f>3090/30</f>
        <v>103</v>
      </c>
      <c r="R3" s="14">
        <v>105.4</v>
      </c>
      <c r="S3" s="14">
        <v>102.3</v>
      </c>
      <c r="T3" s="14">
        <v>99.5</v>
      </c>
      <c r="U3" s="3"/>
    </row>
    <row r="4" spans="1:21" s="15" customFormat="1" ht="15.75" customHeight="1" x14ac:dyDescent="0.3">
      <c r="A4" s="9">
        <v>1909</v>
      </c>
      <c r="B4" s="9">
        <v>12</v>
      </c>
      <c r="C4" s="10">
        <f t="shared" si="0"/>
        <v>144.96570020481312</v>
      </c>
      <c r="D4" s="10">
        <f>SUM(I4:T4)</f>
        <v>1739.5884024577574</v>
      </c>
      <c r="E4" s="11">
        <v>316.62</v>
      </c>
      <c r="F4" s="11">
        <f t="shared" si="2"/>
        <v>2.1841028571080408</v>
      </c>
      <c r="G4" s="12">
        <f t="shared" ref="G4:G67" si="3">C4/E4</f>
        <v>0.4578538949049748</v>
      </c>
      <c r="H4" s="13"/>
      <c r="I4" s="14">
        <v>122</v>
      </c>
      <c r="J4" s="14">
        <f>3739/28</f>
        <v>133.53571428571428</v>
      </c>
      <c r="K4" s="14">
        <v>146</v>
      </c>
      <c r="L4" s="14">
        <f>5160/30</f>
        <v>172</v>
      </c>
      <c r="M4" s="14">
        <v>171.4</v>
      </c>
      <c r="N4" s="14">
        <f>4971/30</f>
        <v>165.7</v>
      </c>
      <c r="O4" s="14">
        <v>163.30000000000001</v>
      </c>
      <c r="P4" s="14">
        <v>144.19999999999999</v>
      </c>
      <c r="Q4" s="14">
        <v>141.69999999999999</v>
      </c>
      <c r="R4" s="14">
        <f>4322/31</f>
        <v>139.41935483870967</v>
      </c>
      <c r="S4" s="14">
        <f>3628/30</f>
        <v>120.93333333333334</v>
      </c>
      <c r="T4" s="14">
        <v>119.4</v>
      </c>
      <c r="U4" s="3"/>
    </row>
    <row r="5" spans="1:21" s="15" customFormat="1" ht="15.75" customHeight="1" x14ac:dyDescent="0.3">
      <c r="A5" s="9">
        <v>1910</v>
      </c>
      <c r="B5" s="9">
        <v>12</v>
      </c>
      <c r="C5" s="10">
        <f t="shared" si="0"/>
        <v>161.61658346134155</v>
      </c>
      <c r="D5" s="10">
        <f t="shared" si="1"/>
        <v>1939.3990015360985</v>
      </c>
      <c r="E5" s="11">
        <v>316.62</v>
      </c>
      <c r="F5" s="11">
        <f t="shared" si="2"/>
        <v>1.9590811364709677</v>
      </c>
      <c r="G5" s="12">
        <f t="shared" si="3"/>
        <v>0.51044338153414681</v>
      </c>
      <c r="H5" s="13"/>
      <c r="I5" s="14">
        <v>120.2</v>
      </c>
      <c r="J5" s="14">
        <f>3351/28</f>
        <v>119.67857142857143</v>
      </c>
      <c r="K5" s="14">
        <f>3838/31</f>
        <v>123.80645161290323</v>
      </c>
      <c r="L5" s="14">
        <v>165.6</v>
      </c>
      <c r="M5" s="14">
        <f>5733/31</f>
        <v>184.93548387096774</v>
      </c>
      <c r="N5" s="14">
        <v>215.2</v>
      </c>
      <c r="O5" s="14">
        <f>6437/31</f>
        <v>207.64516129032259</v>
      </c>
      <c r="P5" s="14">
        <v>186.3</v>
      </c>
      <c r="Q5" s="14">
        <f>4642/30</f>
        <v>154.73333333333332</v>
      </c>
      <c r="R5" s="14">
        <v>150.19999999999999</v>
      </c>
      <c r="S5" s="14">
        <f>4578/30</f>
        <v>152.6</v>
      </c>
      <c r="T5" s="14">
        <v>158.5</v>
      </c>
      <c r="U5" s="3"/>
    </row>
    <row r="6" spans="1:21" s="15" customFormat="1" ht="15.75" customHeight="1" x14ac:dyDescent="0.3">
      <c r="A6" s="9">
        <v>1911</v>
      </c>
      <c r="B6" s="9">
        <v>12</v>
      </c>
      <c r="C6" s="10">
        <f t="shared" si="0"/>
        <v>156.57580645161289</v>
      </c>
      <c r="D6" s="10">
        <f t="shared" si="1"/>
        <v>1878.9096774193547</v>
      </c>
      <c r="E6" s="11">
        <v>316.62</v>
      </c>
      <c r="F6" s="11">
        <f t="shared" si="2"/>
        <v>2.022151487994067</v>
      </c>
      <c r="G6" s="12">
        <f t="shared" si="3"/>
        <v>0.49452279215341066</v>
      </c>
      <c r="H6" s="13"/>
      <c r="I6" s="14">
        <v>170</v>
      </c>
      <c r="J6" s="14">
        <f>4872/28</f>
        <v>174</v>
      </c>
      <c r="K6" s="14">
        <f>5798/31</f>
        <v>187.03225806451613</v>
      </c>
      <c r="L6" s="14">
        <v>227.8</v>
      </c>
      <c r="M6" s="14">
        <v>232.2</v>
      </c>
      <c r="N6" s="14">
        <v>235</v>
      </c>
      <c r="O6" s="14">
        <v>208.6</v>
      </c>
      <c r="P6" s="14">
        <f>4186/31</f>
        <v>135.03225806451613</v>
      </c>
      <c r="Q6" s="14">
        <f>3180/30</f>
        <v>106</v>
      </c>
      <c r="R6" s="14">
        <f>2407/31</f>
        <v>77.645161290322577</v>
      </c>
      <c r="S6" s="14">
        <f>1698/30</f>
        <v>56.6</v>
      </c>
      <c r="T6" s="14">
        <f>2139/31</f>
        <v>69</v>
      </c>
      <c r="U6" s="3"/>
    </row>
    <row r="7" spans="1:21" s="15" customFormat="1" ht="15.75" customHeight="1" x14ac:dyDescent="0.3">
      <c r="A7" s="9">
        <v>1912</v>
      </c>
      <c r="B7" s="9">
        <v>12</v>
      </c>
      <c r="C7" s="10">
        <f t="shared" si="0"/>
        <v>98.403225806451601</v>
      </c>
      <c r="D7" s="10">
        <f t="shared" si="1"/>
        <v>1180.8387096774193</v>
      </c>
      <c r="E7" s="11">
        <v>316.62</v>
      </c>
      <c r="F7" s="11">
        <f t="shared" si="2"/>
        <v>3.2175774463202758</v>
      </c>
      <c r="G7" s="12">
        <f t="shared" si="3"/>
        <v>0.31079282991109719</v>
      </c>
      <c r="H7" s="13"/>
      <c r="I7" s="14">
        <v>66</v>
      </c>
      <c r="J7" s="14">
        <v>83</v>
      </c>
      <c r="K7" s="14">
        <v>120</v>
      </c>
      <c r="L7" s="14">
        <f>3508/30</f>
        <v>116.93333333333334</v>
      </c>
      <c r="M7" s="14">
        <v>138.1</v>
      </c>
      <c r="N7" s="14">
        <f>4410/30</f>
        <v>147</v>
      </c>
      <c r="O7" s="14">
        <f>5488/31</f>
        <v>177.03225806451613</v>
      </c>
      <c r="P7" s="14">
        <f>2819/31</f>
        <v>90.935483870967744</v>
      </c>
      <c r="Q7" s="14">
        <f>2422/30</f>
        <v>80.733333333333334</v>
      </c>
      <c r="R7" s="14">
        <f>1613/31</f>
        <v>52.032258064516128</v>
      </c>
      <c r="S7" s="14">
        <f>1657/30</f>
        <v>55.233333333333334</v>
      </c>
      <c r="T7" s="14">
        <f>1669/31</f>
        <v>53.838709677419352</v>
      </c>
      <c r="U7" s="3"/>
    </row>
    <row r="8" spans="1:21" s="15" customFormat="1" ht="15.75" customHeight="1" x14ac:dyDescent="0.3">
      <c r="A8" s="9">
        <v>1913</v>
      </c>
      <c r="B8" s="9">
        <v>12</v>
      </c>
      <c r="C8" s="10">
        <f t="shared" si="0"/>
        <v>164.74444444444444</v>
      </c>
      <c r="D8" s="10">
        <f t="shared" si="1"/>
        <v>1976.9333333333332</v>
      </c>
      <c r="E8" s="11">
        <v>316.62</v>
      </c>
      <c r="F8" s="14">
        <f t="shared" si="2"/>
        <v>1.9218857489714711</v>
      </c>
      <c r="G8" s="12">
        <f t="shared" si="3"/>
        <v>0.52032229310986178</v>
      </c>
      <c r="H8" s="13"/>
      <c r="I8" s="14">
        <f>2168/31</f>
        <v>69.935483870967744</v>
      </c>
      <c r="J8" s="14">
        <f>2422/28</f>
        <v>86.5</v>
      </c>
      <c r="K8" s="14">
        <v>105.7</v>
      </c>
      <c r="L8" s="14">
        <f>5737/30</f>
        <v>191.23333333333332</v>
      </c>
      <c r="M8" s="14">
        <f>7186/31</f>
        <v>231.80645161290323</v>
      </c>
      <c r="N8" s="14">
        <f>6709/30</f>
        <v>223.63333333333333</v>
      </c>
      <c r="O8" s="14">
        <f>8507/31</f>
        <v>274.41935483870969</v>
      </c>
      <c r="P8" s="14">
        <f>5017/31</f>
        <v>161.83870967741936</v>
      </c>
      <c r="Q8" s="14">
        <f>3448/30</f>
        <v>114.93333333333334</v>
      </c>
      <c r="R8" s="14">
        <v>99.1</v>
      </c>
      <c r="S8" s="14">
        <f>5446/30</f>
        <v>181.53333333333333</v>
      </c>
      <c r="T8" s="14">
        <v>236.3</v>
      </c>
      <c r="U8" s="3"/>
    </row>
    <row r="9" spans="1:21" s="15" customFormat="1" ht="15.75" customHeight="1" x14ac:dyDescent="0.3">
      <c r="A9" s="9">
        <v>1914</v>
      </c>
      <c r="B9" s="9">
        <v>12</v>
      </c>
      <c r="C9" s="10">
        <f t="shared" si="0"/>
        <v>179.13968894009213</v>
      </c>
      <c r="D9" s="10">
        <f t="shared" si="1"/>
        <v>2149.6762672811055</v>
      </c>
      <c r="E9" s="11">
        <v>316.62</v>
      </c>
      <c r="F9" s="14">
        <f t="shared" si="2"/>
        <v>1.7674475258572322</v>
      </c>
      <c r="G9" s="12">
        <f t="shared" si="3"/>
        <v>0.56578766009756842</v>
      </c>
      <c r="H9" s="13"/>
      <c r="I9" s="14">
        <v>234.4</v>
      </c>
      <c r="J9" s="14">
        <f>6183/28</f>
        <v>220.82142857142858</v>
      </c>
      <c r="K9" s="14">
        <v>249.6</v>
      </c>
      <c r="L9" s="14">
        <f>8373/30</f>
        <v>279.10000000000002</v>
      </c>
      <c r="M9" s="14">
        <f>9043/31</f>
        <v>291.70967741935482</v>
      </c>
      <c r="N9" s="14">
        <v>291.60000000000002</v>
      </c>
      <c r="O9" s="14">
        <f>8029/31</f>
        <v>259</v>
      </c>
      <c r="P9" s="14">
        <f>3027/31</f>
        <v>97.645161290322577</v>
      </c>
      <c r="Q9" s="14">
        <f>1950/30</f>
        <v>65</v>
      </c>
      <c r="R9" s="14">
        <v>49.6</v>
      </c>
      <c r="S9" s="14">
        <f>1200/30</f>
        <v>40</v>
      </c>
      <c r="T9" s="14">
        <v>71.2</v>
      </c>
      <c r="U9" s="3"/>
    </row>
    <row r="10" spans="1:21" s="15" customFormat="1" ht="15.75" customHeight="1" x14ac:dyDescent="0.3">
      <c r="A10" s="9">
        <v>1915</v>
      </c>
      <c r="B10" s="9">
        <v>12</v>
      </c>
      <c r="C10" s="10">
        <f t="shared" si="0"/>
        <v>105.2406490015361</v>
      </c>
      <c r="D10" s="10">
        <f t="shared" si="1"/>
        <v>1262.8877880184332</v>
      </c>
      <c r="E10" s="11">
        <v>316.62</v>
      </c>
      <c r="F10" s="14">
        <f t="shared" si="2"/>
        <v>3.0085333281760605</v>
      </c>
      <c r="G10" s="12">
        <f t="shared" si="3"/>
        <v>0.33238787506012285</v>
      </c>
      <c r="H10" s="13"/>
      <c r="I10" s="14">
        <f>2720/31</f>
        <v>87.741935483870961</v>
      </c>
      <c r="J10" s="14">
        <f>2747/28</f>
        <v>98.107142857142861</v>
      </c>
      <c r="K10" s="14">
        <f>1979/31</f>
        <v>63.838709677419352</v>
      </c>
      <c r="L10" s="14">
        <f>2220/30</f>
        <v>74</v>
      </c>
      <c r="M10" s="14">
        <v>200.8</v>
      </c>
      <c r="N10" s="14">
        <f>6060/30</f>
        <v>202</v>
      </c>
      <c r="O10" s="14">
        <v>160.1</v>
      </c>
      <c r="P10" s="14">
        <f>1829/31</f>
        <v>59</v>
      </c>
      <c r="Q10" s="14">
        <f>1770/30</f>
        <v>59</v>
      </c>
      <c r="R10" s="14">
        <v>54.3</v>
      </c>
      <c r="S10" s="14">
        <v>78.7</v>
      </c>
      <c r="T10" s="14">
        <v>125.3</v>
      </c>
      <c r="U10" s="3"/>
    </row>
    <row r="11" spans="1:21" s="15" customFormat="1" ht="15.75" customHeight="1" x14ac:dyDescent="0.3">
      <c r="A11" s="9">
        <v>1916</v>
      </c>
      <c r="B11" s="9">
        <v>12</v>
      </c>
      <c r="C11" s="10">
        <f t="shared" si="0"/>
        <v>85.366577060931903</v>
      </c>
      <c r="D11" s="10">
        <f t="shared" si="1"/>
        <v>1024.3989247311829</v>
      </c>
      <c r="E11" s="11">
        <v>316.62</v>
      </c>
      <c r="F11" s="14">
        <f t="shared" si="2"/>
        <v>3.708945712723223</v>
      </c>
      <c r="G11" s="12">
        <f t="shared" si="3"/>
        <v>0.26961839764048989</v>
      </c>
      <c r="H11" s="13"/>
      <c r="I11" s="14">
        <v>116.1</v>
      </c>
      <c r="J11" s="14">
        <v>86.4</v>
      </c>
      <c r="K11" s="14">
        <v>79.599999999999994</v>
      </c>
      <c r="L11" s="14">
        <v>89.1</v>
      </c>
      <c r="M11" s="14">
        <f>3489/31</f>
        <v>112.54838709677419</v>
      </c>
      <c r="N11" s="14">
        <f>5998/30</f>
        <v>199.93333333333334</v>
      </c>
      <c r="O11" s="14">
        <f>2673/31</f>
        <v>86.225806451612897</v>
      </c>
      <c r="P11" s="14">
        <f>2571/31</f>
        <v>82.935483870967744</v>
      </c>
      <c r="Q11" s="14">
        <f>1204/30</f>
        <v>40.133333333333333</v>
      </c>
      <c r="R11" s="14">
        <f>1209/31</f>
        <v>39</v>
      </c>
      <c r="S11" s="14">
        <v>42.1</v>
      </c>
      <c r="T11" s="14">
        <f>1560/31</f>
        <v>50.322580645161288</v>
      </c>
      <c r="U11" s="3"/>
    </row>
    <row r="12" spans="1:21" s="15" customFormat="1" ht="15.75" customHeight="1" x14ac:dyDescent="0.3">
      <c r="A12" s="9">
        <v>1917</v>
      </c>
      <c r="B12" s="9">
        <v>12</v>
      </c>
      <c r="C12" s="10">
        <f t="shared" si="0"/>
        <v>123.18170122887864</v>
      </c>
      <c r="D12" s="10">
        <f t="shared" si="1"/>
        <v>1478.1804147465436</v>
      </c>
      <c r="E12" s="11">
        <v>316.62</v>
      </c>
      <c r="F12" s="14">
        <f t="shared" si="2"/>
        <v>2.5703493038442615</v>
      </c>
      <c r="G12" s="12">
        <f t="shared" si="3"/>
        <v>0.38905217999140496</v>
      </c>
      <c r="H12" s="13"/>
      <c r="I12" s="14">
        <f>1724/31</f>
        <v>55.612903225806448</v>
      </c>
      <c r="J12" s="14">
        <f>1889/28</f>
        <v>67.464285714285708</v>
      </c>
      <c r="K12" s="14">
        <f>2198/31</f>
        <v>70.903225806451616</v>
      </c>
      <c r="L12" s="14">
        <f>1884/30</f>
        <v>62.8</v>
      </c>
      <c r="M12" s="14">
        <v>129.69999999999999</v>
      </c>
      <c r="N12" s="14">
        <v>132.6</v>
      </c>
      <c r="O12" s="14">
        <v>160</v>
      </c>
      <c r="P12" s="14">
        <v>153.30000000000001</v>
      </c>
      <c r="Q12" s="14">
        <v>165</v>
      </c>
      <c r="R12" s="14">
        <v>142.1</v>
      </c>
      <c r="S12" s="14">
        <v>207.2</v>
      </c>
      <c r="T12" s="14">
        <v>131.5</v>
      </c>
      <c r="U12" s="3"/>
    </row>
    <row r="13" spans="1:21" s="15" customFormat="1" ht="15.75" customHeight="1" x14ac:dyDescent="0.3">
      <c r="A13" s="9">
        <v>1918</v>
      </c>
      <c r="B13" s="9">
        <v>12</v>
      </c>
      <c r="C13" s="10">
        <f t="shared" si="0"/>
        <v>131.19659498207886</v>
      </c>
      <c r="D13" s="10">
        <f t="shared" si="1"/>
        <v>1574.3591397849464</v>
      </c>
      <c r="E13" s="11">
        <v>316.62</v>
      </c>
      <c r="F13" s="14">
        <f t="shared" si="2"/>
        <v>2.4133248278528079</v>
      </c>
      <c r="G13" s="12">
        <f t="shared" si="3"/>
        <v>0.41436610126359313</v>
      </c>
      <c r="H13" s="13"/>
      <c r="I13" s="14">
        <v>132.5</v>
      </c>
      <c r="J13" s="14">
        <v>151.6</v>
      </c>
      <c r="K13" s="14">
        <v>206.5</v>
      </c>
      <c r="L13" s="14">
        <v>345.9</v>
      </c>
      <c r="M13" s="14">
        <v>209.4</v>
      </c>
      <c r="N13" s="14">
        <v>138.1</v>
      </c>
      <c r="O13" s="14">
        <f>2310/31</f>
        <v>74.516129032258064</v>
      </c>
      <c r="P13" s="14">
        <f>2750/31</f>
        <v>88.709677419354833</v>
      </c>
      <c r="Q13" s="14">
        <f>1597/30</f>
        <v>53.233333333333334</v>
      </c>
      <c r="R13" s="14">
        <v>62.3</v>
      </c>
      <c r="S13" s="14">
        <v>77.2</v>
      </c>
      <c r="T13" s="14">
        <v>34.4</v>
      </c>
      <c r="U13" s="3"/>
    </row>
    <row r="14" spans="1:21" s="15" customFormat="1" ht="15.75" customHeight="1" x14ac:dyDescent="0.3">
      <c r="A14" s="9">
        <v>1919</v>
      </c>
      <c r="B14" s="9">
        <v>12</v>
      </c>
      <c r="C14" s="10">
        <f t="shared" si="0"/>
        <v>60.790668202764977</v>
      </c>
      <c r="D14" s="10">
        <f t="shared" si="1"/>
        <v>729.48801843317972</v>
      </c>
      <c r="E14" s="11">
        <v>316.62</v>
      </c>
      <c r="F14" s="14">
        <f t="shared" si="2"/>
        <v>5.2083651876292256</v>
      </c>
      <c r="G14" s="12">
        <f t="shared" si="3"/>
        <v>0.1919988257304181</v>
      </c>
      <c r="H14" s="13"/>
      <c r="I14" s="14">
        <v>38.799999999999997</v>
      </c>
      <c r="J14" s="14">
        <f>1110/28</f>
        <v>39.642857142857146</v>
      </c>
      <c r="K14" s="14">
        <v>57.2</v>
      </c>
      <c r="L14" s="14">
        <v>68.099999999999994</v>
      </c>
      <c r="M14" s="14">
        <v>238.4</v>
      </c>
      <c r="N14" s="14">
        <v>47.6</v>
      </c>
      <c r="O14" s="14">
        <v>57.2</v>
      </c>
      <c r="P14" s="14">
        <v>24.9</v>
      </c>
      <c r="Q14" s="14">
        <f>720/30</f>
        <v>24</v>
      </c>
      <c r="R14" s="14">
        <f>2283/31</f>
        <v>73.645161290322577</v>
      </c>
      <c r="S14" s="14">
        <f>900/30</f>
        <v>30</v>
      </c>
      <c r="T14" s="14">
        <f>930/31</f>
        <v>30</v>
      </c>
      <c r="U14" s="3"/>
    </row>
    <row r="15" spans="1:21" s="15" customFormat="1" ht="15.75" customHeight="1" x14ac:dyDescent="0.3">
      <c r="A15" s="9">
        <v>1920</v>
      </c>
      <c r="B15" s="9">
        <v>12</v>
      </c>
      <c r="C15" s="10">
        <f t="shared" si="0"/>
        <v>78.374193548387083</v>
      </c>
      <c r="D15" s="10">
        <f t="shared" si="1"/>
        <v>940.49032258064506</v>
      </c>
      <c r="E15" s="11">
        <v>316.62</v>
      </c>
      <c r="F15" s="14">
        <f t="shared" si="2"/>
        <v>4.0398501810997702</v>
      </c>
      <c r="G15" s="12">
        <f t="shared" si="3"/>
        <v>0.24753393199541115</v>
      </c>
      <c r="H15" s="13"/>
      <c r="I15" s="14">
        <v>31.3</v>
      </c>
      <c r="J15" s="14">
        <v>70</v>
      </c>
      <c r="K15" s="14">
        <f>2484/31</f>
        <v>80.129032258064512</v>
      </c>
      <c r="L15" s="14">
        <v>92</v>
      </c>
      <c r="M15" s="14">
        <v>98</v>
      </c>
      <c r="N15" s="14">
        <v>113.1</v>
      </c>
      <c r="O15" s="14">
        <f>4403/31</f>
        <v>142.03225806451613</v>
      </c>
      <c r="P15" s="14">
        <v>53.1</v>
      </c>
      <c r="Q15" s="14">
        <f>1824/30</f>
        <v>60.8</v>
      </c>
      <c r="R15" s="14">
        <f>1944/31</f>
        <v>62.70967741935484</v>
      </c>
      <c r="S15" s="14">
        <v>70.900000000000006</v>
      </c>
      <c r="T15" s="14">
        <f>2059/31</f>
        <v>66.41935483870968</v>
      </c>
      <c r="U15" s="3"/>
    </row>
    <row r="16" spans="1:21" s="15" customFormat="1" ht="15.75" customHeight="1" x14ac:dyDescent="0.3">
      <c r="A16" s="9">
        <v>1921</v>
      </c>
      <c r="B16" s="9">
        <v>12</v>
      </c>
      <c r="C16" s="10">
        <f t="shared" si="0"/>
        <v>134.38387096774193</v>
      </c>
      <c r="D16" s="10">
        <f t="shared" si="1"/>
        <v>1612.6064516129031</v>
      </c>
      <c r="E16" s="11">
        <v>316.62</v>
      </c>
      <c r="F16" s="14">
        <f t="shared" si="2"/>
        <v>2.3560863198828588</v>
      </c>
      <c r="G16" s="12">
        <f t="shared" si="3"/>
        <v>0.42443266681745284</v>
      </c>
      <c r="H16" s="13"/>
      <c r="I16" s="14">
        <v>106.3</v>
      </c>
      <c r="J16" s="14">
        <f>3934/28</f>
        <v>140.5</v>
      </c>
      <c r="K16" s="14">
        <f>4574/31</f>
        <v>147.54838709677421</v>
      </c>
      <c r="L16" s="14">
        <v>165.5</v>
      </c>
      <c r="M16" s="14">
        <v>237</v>
      </c>
      <c r="N16" s="14">
        <f>7440/30</f>
        <v>248</v>
      </c>
      <c r="O16" s="14">
        <f>5187/31</f>
        <v>167.32258064516128</v>
      </c>
      <c r="P16" s="14">
        <f>2623/31</f>
        <v>84.612903225806448</v>
      </c>
      <c r="Q16" s="14">
        <f>2469/30</f>
        <v>82.3</v>
      </c>
      <c r="R16" s="14">
        <f>1845/31</f>
        <v>59.516129032258064</v>
      </c>
      <c r="S16" s="14">
        <f>2526/30</f>
        <v>84.2</v>
      </c>
      <c r="T16" s="14">
        <f>2784/31</f>
        <v>89.806451612903231</v>
      </c>
      <c r="U16" s="3"/>
    </row>
    <row r="17" spans="1:21" s="15" customFormat="1" ht="15.75" customHeight="1" x14ac:dyDescent="0.3">
      <c r="A17" s="9">
        <v>1922</v>
      </c>
      <c r="B17" s="9">
        <v>12</v>
      </c>
      <c r="C17" s="10">
        <f t="shared" si="0"/>
        <v>99.134427803379381</v>
      </c>
      <c r="D17" s="10">
        <f t="shared" si="1"/>
        <v>1189.6131336405526</v>
      </c>
      <c r="E17" s="11">
        <v>316.62</v>
      </c>
      <c r="F17" s="14">
        <f t="shared" si="2"/>
        <v>3.1938450346228437</v>
      </c>
      <c r="G17" s="12">
        <f t="shared" si="3"/>
        <v>0.31310222918128794</v>
      </c>
      <c r="H17" s="13"/>
      <c r="I17" s="14">
        <v>90.1</v>
      </c>
      <c r="J17" s="14">
        <f>3179/28</f>
        <v>113.53571428571429</v>
      </c>
      <c r="K17" s="14">
        <v>129.30000000000001</v>
      </c>
      <c r="L17" s="14">
        <f>4812/30</f>
        <v>160.4</v>
      </c>
      <c r="M17" s="14">
        <v>210.7</v>
      </c>
      <c r="N17" s="14">
        <f>4662/30</f>
        <v>155.4</v>
      </c>
      <c r="O17" s="14">
        <f>4840/31</f>
        <v>156.12903225806451</v>
      </c>
      <c r="P17" s="14">
        <v>36.1</v>
      </c>
      <c r="Q17" s="14">
        <v>30.3</v>
      </c>
      <c r="R17" s="14">
        <v>26.1</v>
      </c>
      <c r="S17" s="14">
        <f>840/30</f>
        <v>28</v>
      </c>
      <c r="T17" s="14">
        <f>1660/31</f>
        <v>53.548387096774192</v>
      </c>
      <c r="U17" s="3"/>
    </row>
    <row r="18" spans="1:21" s="15" customFormat="1" ht="15.75" customHeight="1" x14ac:dyDescent="0.3">
      <c r="A18" s="9">
        <v>1923</v>
      </c>
      <c r="B18" s="9">
        <v>12</v>
      </c>
      <c r="C18" s="10">
        <f t="shared" si="0"/>
        <v>59.192741935483866</v>
      </c>
      <c r="D18" s="10">
        <f t="shared" si="1"/>
        <v>710.31290322580639</v>
      </c>
      <c r="E18" s="11">
        <v>316.62</v>
      </c>
      <c r="F18" s="14">
        <f t="shared" si="2"/>
        <v>5.3489666071744848</v>
      </c>
      <c r="G18" s="12">
        <f t="shared" si="3"/>
        <v>0.18695199903822837</v>
      </c>
      <c r="H18" s="13"/>
      <c r="I18" s="14">
        <f>1488/31</f>
        <v>48</v>
      </c>
      <c r="J18" s="14">
        <v>66.8</v>
      </c>
      <c r="K18" s="14">
        <v>77.900000000000006</v>
      </c>
      <c r="L18" s="14">
        <f>3195/30</f>
        <v>106.5</v>
      </c>
      <c r="M18" s="14">
        <f>3627/31</f>
        <v>117</v>
      </c>
      <c r="N18" s="14">
        <f>3414/30</f>
        <v>113.8</v>
      </c>
      <c r="O18" s="14">
        <v>57.4</v>
      </c>
      <c r="P18" s="14">
        <f>496/31</f>
        <v>16</v>
      </c>
      <c r="Q18" s="14">
        <f>480/30</f>
        <v>16</v>
      </c>
      <c r="R18" s="14">
        <v>23.8</v>
      </c>
      <c r="S18" s="14">
        <f>675/30</f>
        <v>22.5</v>
      </c>
      <c r="T18" s="14">
        <f>1383/31</f>
        <v>44.612903225806448</v>
      </c>
      <c r="U18" s="3"/>
    </row>
    <row r="19" spans="1:21" s="15" customFormat="1" ht="15.75" customHeight="1" x14ac:dyDescent="0.3">
      <c r="A19" s="9">
        <v>1924</v>
      </c>
      <c r="B19" s="9">
        <v>12</v>
      </c>
      <c r="C19" s="10">
        <f t="shared" si="0"/>
        <v>38.887365591397852</v>
      </c>
      <c r="D19" s="10">
        <f t="shared" si="1"/>
        <v>466.64838709677423</v>
      </c>
      <c r="E19" s="11">
        <v>316.62</v>
      </c>
      <c r="F19" s="14">
        <f t="shared" si="2"/>
        <v>8.1419760681870024</v>
      </c>
      <c r="G19" s="12">
        <f t="shared" si="3"/>
        <v>0.12282030696544076</v>
      </c>
      <c r="H19" s="13"/>
      <c r="I19" s="14">
        <v>74.900000000000006</v>
      </c>
      <c r="J19" s="14">
        <v>76</v>
      </c>
      <c r="K19" s="14">
        <v>73</v>
      </c>
      <c r="L19" s="14">
        <f>2706/30</f>
        <v>90.2</v>
      </c>
      <c r="M19" s="14">
        <f>2404/31</f>
        <v>77.548387096774192</v>
      </c>
      <c r="N19" s="14">
        <f>2250/30</f>
        <v>75</v>
      </c>
      <c r="O19" s="14"/>
      <c r="P19" s="14"/>
      <c r="Q19" s="14"/>
      <c r="R19" s="14"/>
      <c r="S19" s="14"/>
      <c r="T19" s="14"/>
      <c r="U19" s="3"/>
    </row>
    <row r="20" spans="1:21" s="15" customFormat="1" ht="15.75" customHeight="1" x14ac:dyDescent="0.3">
      <c r="A20" s="9">
        <v>1925</v>
      </c>
      <c r="B20" s="9">
        <v>12</v>
      </c>
      <c r="C20" s="10">
        <f t="shared" si="0"/>
        <v>36.251612903225805</v>
      </c>
      <c r="D20" s="10">
        <f t="shared" si="1"/>
        <v>435.01935483870966</v>
      </c>
      <c r="E20" s="11">
        <v>316.62</v>
      </c>
      <c r="F20" s="14">
        <f t="shared" si="2"/>
        <v>8.7339562199679666</v>
      </c>
      <c r="G20" s="12">
        <f t="shared" si="3"/>
        <v>0.1144956506323852</v>
      </c>
      <c r="H20" s="13"/>
      <c r="I20" s="14"/>
      <c r="J20" s="14"/>
      <c r="K20" s="14"/>
      <c r="L20" s="14"/>
      <c r="M20" s="14"/>
      <c r="N20" s="14"/>
      <c r="O20" s="14">
        <f>3510/31</f>
        <v>113.2258064516129</v>
      </c>
      <c r="P20" s="14">
        <f>823/31</f>
        <v>26.548387096774192</v>
      </c>
      <c r="Q20" s="14">
        <f>768/30</f>
        <v>25.6</v>
      </c>
      <c r="R20" s="14">
        <f>1984/31</f>
        <v>64</v>
      </c>
      <c r="S20" s="14">
        <f>1920/30</f>
        <v>64</v>
      </c>
      <c r="T20" s="14">
        <f>4391/31</f>
        <v>141.64516129032259</v>
      </c>
      <c r="U20" s="3"/>
    </row>
    <row r="21" spans="1:21" s="15" customFormat="1" ht="15.75" customHeight="1" x14ac:dyDescent="0.3">
      <c r="A21" s="9">
        <v>1926</v>
      </c>
      <c r="B21" s="9">
        <v>12</v>
      </c>
      <c r="C21" s="10">
        <f t="shared" si="0"/>
        <v>131.49247311827958</v>
      </c>
      <c r="D21" s="10">
        <f t="shared" si="1"/>
        <v>1577.9096774193549</v>
      </c>
      <c r="E21" s="11">
        <v>316.62</v>
      </c>
      <c r="F21" s="14">
        <f t="shared" si="2"/>
        <v>2.4078944786078762</v>
      </c>
      <c r="G21" s="12">
        <f t="shared" si="3"/>
        <v>0.41530059098692307</v>
      </c>
      <c r="H21" s="13"/>
      <c r="I21" s="14">
        <f>4743/31</f>
        <v>153</v>
      </c>
      <c r="J21" s="14">
        <f>4284/28</f>
        <v>153</v>
      </c>
      <c r="K21" s="14">
        <f>4743/31</f>
        <v>153</v>
      </c>
      <c r="L21" s="14">
        <f>4590/30</f>
        <v>153</v>
      </c>
      <c r="M21" s="14">
        <f>4743/31</f>
        <v>153</v>
      </c>
      <c r="N21" s="14">
        <f>4590/30</f>
        <v>153</v>
      </c>
      <c r="O21" s="14">
        <v>139</v>
      </c>
      <c r="P21" s="14">
        <f>3627/31</f>
        <v>117</v>
      </c>
      <c r="Q21" s="14">
        <f>3510/30</f>
        <v>117</v>
      </c>
      <c r="R21" s="14">
        <f>3215/31</f>
        <v>103.70967741935483</v>
      </c>
      <c r="S21" s="14">
        <v>93.2</v>
      </c>
      <c r="T21" s="14">
        <f>2790/31</f>
        <v>90</v>
      </c>
      <c r="U21" s="3"/>
    </row>
    <row r="22" spans="1:21" s="15" customFormat="1" ht="15.75" customHeight="1" x14ac:dyDescent="0.3">
      <c r="A22" s="9">
        <v>1927</v>
      </c>
      <c r="B22" s="9">
        <v>12</v>
      </c>
      <c r="C22" s="10">
        <f t="shared" si="0"/>
        <v>78.436290322580632</v>
      </c>
      <c r="D22" s="10">
        <f t="shared" si="1"/>
        <v>941.23548387096764</v>
      </c>
      <c r="E22" s="11">
        <v>316.62</v>
      </c>
      <c r="F22" s="14">
        <f t="shared" si="2"/>
        <v>4.0366518954154289</v>
      </c>
      <c r="G22" s="12">
        <f t="shared" si="3"/>
        <v>0.24773005597429293</v>
      </c>
      <c r="H22" s="13"/>
      <c r="I22" s="14">
        <f>2790/31</f>
        <v>90</v>
      </c>
      <c r="J22" s="14">
        <f>2520/28</f>
        <v>90</v>
      </c>
      <c r="K22" s="14">
        <f>2790/31</f>
        <v>90</v>
      </c>
      <c r="L22" s="14">
        <f>3132/30</f>
        <v>104.4</v>
      </c>
      <c r="M22" s="14">
        <f>2325/31</f>
        <v>75</v>
      </c>
      <c r="N22" s="14">
        <f>2250/30</f>
        <v>75</v>
      </c>
      <c r="O22" s="14">
        <f>4214/31</f>
        <v>135.93548387096774</v>
      </c>
      <c r="P22" s="14">
        <v>73.3</v>
      </c>
      <c r="Q22" s="14">
        <f>1620/30</f>
        <v>54</v>
      </c>
      <c r="R22" s="14">
        <f>1674/31</f>
        <v>54</v>
      </c>
      <c r="S22" s="14">
        <f>1638/30</f>
        <v>54.6</v>
      </c>
      <c r="T22" s="14">
        <f>1395/31</f>
        <v>45</v>
      </c>
      <c r="U22" s="3"/>
    </row>
    <row r="23" spans="1:21" s="15" customFormat="1" ht="15.75" customHeight="1" x14ac:dyDescent="0.3">
      <c r="A23" s="9">
        <v>1928</v>
      </c>
      <c r="B23" s="9">
        <v>12</v>
      </c>
      <c r="C23" s="10">
        <f t="shared" si="0"/>
        <v>69.651254480286752</v>
      </c>
      <c r="D23" s="10">
        <f t="shared" si="1"/>
        <v>835.81505376344103</v>
      </c>
      <c r="E23" s="11">
        <v>316.62</v>
      </c>
      <c r="F23" s="14">
        <f t="shared" si="2"/>
        <v>4.5457903430815065</v>
      </c>
      <c r="G23" s="12">
        <f t="shared" si="3"/>
        <v>0.21998374859543537</v>
      </c>
      <c r="H23" s="13"/>
      <c r="I23" s="14">
        <f>1395/31</f>
        <v>45</v>
      </c>
      <c r="J23" s="14">
        <v>45</v>
      </c>
      <c r="K23" s="14">
        <f>1395/31</f>
        <v>45</v>
      </c>
      <c r="L23" s="14">
        <f>1350/30</f>
        <v>45</v>
      </c>
      <c r="M23" s="14">
        <v>86</v>
      </c>
      <c r="N23" s="14">
        <f>3118/30</f>
        <v>103.93333333333334</v>
      </c>
      <c r="O23" s="14">
        <f>2914/31</f>
        <v>94</v>
      </c>
      <c r="P23" s="14">
        <f>1705/31</f>
        <v>55</v>
      </c>
      <c r="Q23" s="14">
        <f>1480/30</f>
        <v>49.333333333333336</v>
      </c>
      <c r="R23" s="14">
        <f>496/31</f>
        <v>16</v>
      </c>
      <c r="S23" s="14">
        <v>112</v>
      </c>
      <c r="T23" s="14">
        <f>4326/31</f>
        <v>139.54838709677421</v>
      </c>
      <c r="U23" s="3"/>
    </row>
    <row r="24" spans="1:21" s="15" customFormat="1" ht="15.75" customHeight="1" x14ac:dyDescent="0.3">
      <c r="A24" s="9">
        <v>1929</v>
      </c>
      <c r="B24" s="9">
        <v>12</v>
      </c>
      <c r="C24" s="10">
        <f t="shared" si="0"/>
        <v>40.073476702508962</v>
      </c>
      <c r="D24" s="10">
        <f t="shared" si="1"/>
        <v>480.88172043010752</v>
      </c>
      <c r="E24" s="11">
        <v>316.62</v>
      </c>
      <c r="F24" s="14">
        <f t="shared" si="2"/>
        <v>7.9009865390635481</v>
      </c>
      <c r="G24" s="12">
        <f t="shared" si="3"/>
        <v>0.12656647306711188</v>
      </c>
      <c r="H24" s="13"/>
      <c r="I24" s="14">
        <f>2914/31</f>
        <v>94</v>
      </c>
      <c r="J24" s="14">
        <f>1344/28</f>
        <v>48</v>
      </c>
      <c r="K24" s="14">
        <v>62</v>
      </c>
      <c r="L24" s="14">
        <f>3445/30</f>
        <v>114.83333333333333</v>
      </c>
      <c r="M24" s="14">
        <f>2714/31</f>
        <v>87.548387096774192</v>
      </c>
      <c r="N24" s="14">
        <v>74.5</v>
      </c>
      <c r="O24" s="14"/>
      <c r="P24" s="14"/>
      <c r="Q24" s="14"/>
      <c r="R24" s="14"/>
      <c r="S24" s="14"/>
      <c r="T24" s="14"/>
      <c r="U24" s="3"/>
    </row>
    <row r="25" spans="1:21" s="15" customFormat="1" ht="15.75" customHeight="1" x14ac:dyDescent="0.3">
      <c r="A25" s="9">
        <v>1930</v>
      </c>
      <c r="B25" s="9"/>
      <c r="C25" s="10"/>
      <c r="D25" s="10"/>
      <c r="E25" s="11">
        <v>316.62</v>
      </c>
      <c r="F25" s="14"/>
      <c r="G25" s="12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3"/>
    </row>
    <row r="26" spans="1:21" s="15" customFormat="1" ht="15.75" customHeight="1" x14ac:dyDescent="0.3">
      <c r="A26" s="9">
        <v>1931</v>
      </c>
      <c r="B26" s="9"/>
      <c r="C26" s="10"/>
      <c r="D26" s="10"/>
      <c r="E26" s="11">
        <v>316.62</v>
      </c>
      <c r="F26" s="14"/>
      <c r="G26" s="12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3"/>
    </row>
    <row r="27" spans="1:21" s="15" customFormat="1" ht="15.75" customHeight="1" x14ac:dyDescent="0.3">
      <c r="A27" s="9">
        <v>1932</v>
      </c>
      <c r="B27" s="9"/>
      <c r="C27" s="10"/>
      <c r="D27" s="10"/>
      <c r="E27" s="11">
        <v>316.62</v>
      </c>
      <c r="F27" s="14"/>
      <c r="G27" s="12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3"/>
    </row>
    <row r="28" spans="1:21" s="15" customFormat="1" ht="15.75" customHeight="1" x14ac:dyDescent="0.3">
      <c r="A28" s="9">
        <v>1933</v>
      </c>
      <c r="B28" s="9"/>
      <c r="C28" s="10"/>
      <c r="D28" s="10"/>
      <c r="E28" s="11">
        <v>316.62</v>
      </c>
      <c r="F28" s="14"/>
      <c r="G28" s="12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3"/>
    </row>
    <row r="29" spans="1:21" s="15" customFormat="1" ht="15.75" customHeight="1" x14ac:dyDescent="0.3">
      <c r="A29" s="9">
        <v>1934</v>
      </c>
      <c r="B29" s="9"/>
      <c r="C29" s="10"/>
      <c r="D29" s="10"/>
      <c r="E29" s="11">
        <v>316.62</v>
      </c>
      <c r="F29" s="14"/>
      <c r="G29" s="12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3"/>
    </row>
    <row r="30" spans="1:21" s="15" customFormat="1" ht="15.75" customHeight="1" x14ac:dyDescent="0.3">
      <c r="A30" s="9">
        <v>1935</v>
      </c>
      <c r="B30" s="9"/>
      <c r="C30" s="10"/>
      <c r="D30" s="10"/>
      <c r="E30" s="11">
        <v>316.62</v>
      </c>
      <c r="F30" s="14"/>
      <c r="G30" s="12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3"/>
    </row>
    <row r="31" spans="1:21" s="15" customFormat="1" ht="15.75" customHeight="1" x14ac:dyDescent="0.3">
      <c r="A31" s="9">
        <v>1936</v>
      </c>
      <c r="B31" s="9">
        <v>12</v>
      </c>
      <c r="C31" s="10">
        <f t="shared" si="0"/>
        <v>16</v>
      </c>
      <c r="D31" s="10">
        <f t="shared" si="1"/>
        <v>192</v>
      </c>
      <c r="E31" s="11">
        <v>316.62</v>
      </c>
      <c r="F31" s="14">
        <f t="shared" si="2"/>
        <v>19.78875</v>
      </c>
      <c r="G31" s="12">
        <f t="shared" si="3"/>
        <v>5.0533762870317731E-2</v>
      </c>
      <c r="H31" s="13"/>
      <c r="I31" s="14"/>
      <c r="J31" s="14"/>
      <c r="K31" s="14"/>
      <c r="L31" s="14"/>
      <c r="M31" s="14"/>
      <c r="N31" s="14"/>
      <c r="O31" s="14">
        <f>992/31</f>
        <v>32</v>
      </c>
      <c r="P31" s="14">
        <f>992/31</f>
        <v>32</v>
      </c>
      <c r="Q31" s="14">
        <f>960/30</f>
        <v>32</v>
      </c>
      <c r="R31" s="14">
        <f>992/31</f>
        <v>32</v>
      </c>
      <c r="S31" s="14">
        <f>960/30</f>
        <v>32</v>
      </c>
      <c r="T31" s="14">
        <f>992/31</f>
        <v>32</v>
      </c>
      <c r="U31" s="3"/>
    </row>
    <row r="32" spans="1:21" s="15" customFormat="1" ht="15.75" customHeight="1" x14ac:dyDescent="0.3">
      <c r="A32" s="9">
        <v>1937</v>
      </c>
      <c r="B32" s="9">
        <v>12</v>
      </c>
      <c r="C32" s="10">
        <f t="shared" si="0"/>
        <v>28.33602150537634</v>
      </c>
      <c r="D32" s="10">
        <f t="shared" si="1"/>
        <v>340.0322580645161</v>
      </c>
      <c r="E32" s="11">
        <v>316.62</v>
      </c>
      <c r="F32" s="14">
        <f t="shared" si="2"/>
        <v>11.173763400056922</v>
      </c>
      <c r="G32" s="12">
        <f t="shared" si="3"/>
        <v>8.9495361965056974E-2</v>
      </c>
      <c r="H32" s="13"/>
      <c r="I32" s="14">
        <f>992/31</f>
        <v>32</v>
      </c>
      <c r="J32" s="14">
        <f>896/28</f>
        <v>32</v>
      </c>
      <c r="K32" s="14">
        <f>992/31</f>
        <v>32</v>
      </c>
      <c r="L32" s="14">
        <f>960/30</f>
        <v>32</v>
      </c>
      <c r="M32" s="14">
        <f>992/31</f>
        <v>32</v>
      </c>
      <c r="N32" s="14">
        <f>960/30</f>
        <v>32</v>
      </c>
      <c r="O32" s="14">
        <f>776/31</f>
        <v>25.032258064516128</v>
      </c>
      <c r="P32" s="14">
        <f>713/31</f>
        <v>23</v>
      </c>
      <c r="Q32" s="14">
        <f>690/30</f>
        <v>23</v>
      </c>
      <c r="R32" s="14">
        <f>713/31</f>
        <v>23</v>
      </c>
      <c r="S32" s="14">
        <v>24</v>
      </c>
      <c r="T32" s="14">
        <f>930/31</f>
        <v>30</v>
      </c>
      <c r="U32" s="3"/>
    </row>
    <row r="33" spans="1:21" s="15" customFormat="1" ht="15.75" customHeight="1" x14ac:dyDescent="0.3">
      <c r="A33" s="9">
        <v>1938</v>
      </c>
      <c r="B33" s="9">
        <v>12</v>
      </c>
      <c r="C33" s="10">
        <f t="shared" si="0"/>
        <v>31.024462365591393</v>
      </c>
      <c r="D33" s="10">
        <f t="shared" si="1"/>
        <v>372.29354838709673</v>
      </c>
      <c r="E33" s="11">
        <v>316.62</v>
      </c>
      <c r="F33" s="14">
        <f t="shared" si="2"/>
        <v>10.205495143443867</v>
      </c>
      <c r="G33" s="12">
        <f t="shared" si="3"/>
        <v>9.7986426522618256E-2</v>
      </c>
      <c r="H33" s="13"/>
      <c r="I33" s="14">
        <f>930/31</f>
        <v>30</v>
      </c>
      <c r="J33" s="14">
        <f>840/28</f>
        <v>30</v>
      </c>
      <c r="K33" s="14">
        <f>947/31</f>
        <v>30.548387096774192</v>
      </c>
      <c r="L33" s="14">
        <f>930/30</f>
        <v>31</v>
      </c>
      <c r="M33" s="14">
        <f>961/31</f>
        <v>31</v>
      </c>
      <c r="N33" s="14">
        <f>930/30</f>
        <v>31</v>
      </c>
      <c r="O33" s="14">
        <f>961/31</f>
        <v>31</v>
      </c>
      <c r="P33" s="14">
        <f>961/31</f>
        <v>31</v>
      </c>
      <c r="Q33" s="14">
        <f>930/30</f>
        <v>31</v>
      </c>
      <c r="R33" s="14">
        <f>950/31</f>
        <v>30.64516129032258</v>
      </c>
      <c r="S33" s="14">
        <f>987/30</f>
        <v>32.9</v>
      </c>
      <c r="T33" s="14">
        <v>32.200000000000003</v>
      </c>
      <c r="U33" s="3"/>
    </row>
    <row r="34" spans="1:21" s="15" customFormat="1" ht="15.75" customHeight="1" x14ac:dyDescent="0.3">
      <c r="A34" s="9">
        <v>1939</v>
      </c>
      <c r="B34" s="9">
        <v>12</v>
      </c>
      <c r="C34" s="10">
        <f t="shared" si="0"/>
        <v>33.862903225806456</v>
      </c>
      <c r="D34" s="10">
        <f t="shared" si="1"/>
        <v>406.35483870967744</v>
      </c>
      <c r="E34" s="11">
        <v>316.62</v>
      </c>
      <c r="F34" s="14">
        <f t="shared" si="2"/>
        <v>9.3500547749464147</v>
      </c>
      <c r="G34" s="12">
        <f t="shared" si="3"/>
        <v>0.1069512451070888</v>
      </c>
      <c r="H34" s="13"/>
      <c r="I34" s="14">
        <v>36</v>
      </c>
      <c r="J34" s="14">
        <f>1036/28</f>
        <v>37</v>
      </c>
      <c r="K34" s="14">
        <f>1164/31</f>
        <v>37.548387096774192</v>
      </c>
      <c r="L34" s="14">
        <f>1140/30</f>
        <v>38</v>
      </c>
      <c r="M34" s="14">
        <f>1048/31</f>
        <v>33.806451612903224</v>
      </c>
      <c r="N34" s="14">
        <f>990/30</f>
        <v>33</v>
      </c>
      <c r="O34" s="14">
        <f>1023/31</f>
        <v>33</v>
      </c>
      <c r="P34" s="14">
        <f>1023/31</f>
        <v>33</v>
      </c>
      <c r="Q34" s="14">
        <f>990/30</f>
        <v>33</v>
      </c>
      <c r="R34" s="14">
        <f>992/31</f>
        <v>32</v>
      </c>
      <c r="S34" s="14">
        <f>900/30</f>
        <v>30</v>
      </c>
      <c r="T34" s="14">
        <f>930/31</f>
        <v>30</v>
      </c>
      <c r="U34" s="3"/>
    </row>
    <row r="35" spans="1:21" s="15" customFormat="1" ht="15.75" customHeight="1" x14ac:dyDescent="0.3">
      <c r="A35" s="9">
        <v>1940</v>
      </c>
      <c r="B35" s="9">
        <v>12</v>
      </c>
      <c r="C35" s="10">
        <f t="shared" si="0"/>
        <v>18.822849462365593</v>
      </c>
      <c r="D35" s="10">
        <f t="shared" si="1"/>
        <v>225.87419354838713</v>
      </c>
      <c r="E35" s="11">
        <v>316.62</v>
      </c>
      <c r="F35" s="14">
        <f t="shared" si="2"/>
        <v>16.821045115036917</v>
      </c>
      <c r="G35" s="12">
        <f t="shared" si="3"/>
        <v>5.9449338204679403E-2</v>
      </c>
      <c r="H35" s="13"/>
      <c r="I35" s="14">
        <v>11.8</v>
      </c>
      <c r="J35" s="14">
        <v>14</v>
      </c>
      <c r="K35" s="14">
        <f>779/31</f>
        <v>25.129032258064516</v>
      </c>
      <c r="L35" s="14">
        <f>780/30</f>
        <v>26</v>
      </c>
      <c r="M35" s="14">
        <f>806/31</f>
        <v>26</v>
      </c>
      <c r="N35" s="14">
        <f>789/30</f>
        <v>26.3</v>
      </c>
      <c r="O35" s="14">
        <f>807/31</f>
        <v>26.032258064516128</v>
      </c>
      <c r="P35" s="14">
        <f>806/31</f>
        <v>26</v>
      </c>
      <c r="Q35" s="14">
        <f>240/30</f>
        <v>8</v>
      </c>
      <c r="R35" s="14">
        <f>248/31</f>
        <v>8</v>
      </c>
      <c r="S35" s="14">
        <f>240/30</f>
        <v>8</v>
      </c>
      <c r="T35" s="14">
        <f>639/31</f>
        <v>20.612903225806452</v>
      </c>
      <c r="U35" s="3"/>
    </row>
    <row r="36" spans="1:21" s="15" customFormat="1" ht="15.75" customHeight="1" x14ac:dyDescent="0.3">
      <c r="A36" s="9">
        <v>1941</v>
      </c>
      <c r="B36" s="9">
        <v>12</v>
      </c>
      <c r="C36" s="10">
        <f t="shared" si="0"/>
        <v>24.379032258064516</v>
      </c>
      <c r="D36" s="10">
        <f t="shared" si="1"/>
        <v>292.54838709677421</v>
      </c>
      <c r="E36" s="11">
        <v>316.62</v>
      </c>
      <c r="F36" s="14">
        <f t="shared" si="2"/>
        <v>12.987390009923917</v>
      </c>
      <c r="G36" s="12">
        <f t="shared" si="3"/>
        <v>7.6997764696053683E-2</v>
      </c>
      <c r="H36" s="13"/>
      <c r="I36" s="14">
        <f>775/31</f>
        <v>25</v>
      </c>
      <c r="J36" s="14">
        <f>700/28</f>
        <v>25</v>
      </c>
      <c r="K36" s="14">
        <f>806/31</f>
        <v>26</v>
      </c>
      <c r="L36" s="14">
        <f>780/30</f>
        <v>26</v>
      </c>
      <c r="M36" s="14">
        <f>806/31</f>
        <v>26</v>
      </c>
      <c r="N36" s="14">
        <f>780/30</f>
        <v>26</v>
      </c>
      <c r="O36" s="14">
        <f>806/31</f>
        <v>26</v>
      </c>
      <c r="P36" s="14">
        <f>704/31</f>
        <v>22.70967741935484</v>
      </c>
      <c r="Q36" s="14">
        <f>660/30</f>
        <v>22</v>
      </c>
      <c r="R36" s="14">
        <f>677/31</f>
        <v>21.838709677419356</v>
      </c>
      <c r="S36" s="14">
        <f>666/30</f>
        <v>22.2</v>
      </c>
      <c r="T36" s="14">
        <v>23.8</v>
      </c>
      <c r="U36" s="3"/>
    </row>
    <row r="37" spans="1:21" s="15" customFormat="1" ht="15.75" customHeight="1" x14ac:dyDescent="0.3">
      <c r="A37" s="9">
        <v>1942</v>
      </c>
      <c r="B37" s="9">
        <v>12</v>
      </c>
      <c r="C37" s="10">
        <f t="shared" si="0"/>
        <v>24.461021505376348</v>
      </c>
      <c r="D37" s="10">
        <f t="shared" si="1"/>
        <v>293.53225806451616</v>
      </c>
      <c r="E37" s="11">
        <v>316.62</v>
      </c>
      <c r="F37" s="14">
        <f t="shared" si="2"/>
        <v>12.943858453761194</v>
      </c>
      <c r="G37" s="12">
        <f t="shared" si="3"/>
        <v>7.7256716269901923E-2</v>
      </c>
      <c r="H37" s="13"/>
      <c r="I37" s="14">
        <f>744/31</f>
        <v>24</v>
      </c>
      <c r="J37" s="14">
        <f>672/28</f>
        <v>24</v>
      </c>
      <c r="K37" s="14">
        <f>763/31</f>
        <v>24.612903225806452</v>
      </c>
      <c r="L37" s="14">
        <v>24.2</v>
      </c>
      <c r="M37" s="14">
        <f>757/31</f>
        <v>24.419354838709676</v>
      </c>
      <c r="N37" s="14">
        <f>750/30</f>
        <v>25</v>
      </c>
      <c r="O37" s="14">
        <f>775/31</f>
        <v>25</v>
      </c>
      <c r="P37" s="14">
        <f>775/31</f>
        <v>25</v>
      </c>
      <c r="Q37" s="14">
        <f>750/30</f>
        <v>25</v>
      </c>
      <c r="R37" s="14">
        <f>775/31</f>
        <v>25</v>
      </c>
      <c r="S37" s="14">
        <f>750/30</f>
        <v>25</v>
      </c>
      <c r="T37" s="14">
        <v>22.3</v>
      </c>
      <c r="U37" s="3"/>
    </row>
    <row r="38" spans="1:21" s="15" customFormat="1" ht="15.75" customHeight="1" x14ac:dyDescent="0.3">
      <c r="A38" s="9">
        <v>1943</v>
      </c>
      <c r="B38" s="9">
        <v>12</v>
      </c>
      <c r="C38" s="10">
        <f t="shared" si="0"/>
        <v>19.848297491039428</v>
      </c>
      <c r="D38" s="10">
        <f t="shared" si="1"/>
        <v>238.17956989247313</v>
      </c>
      <c r="E38" s="11">
        <v>316.62</v>
      </c>
      <c r="F38" s="14">
        <f t="shared" si="2"/>
        <v>15.951997905258072</v>
      </c>
      <c r="G38" s="12">
        <f t="shared" si="3"/>
        <v>6.2688072424481808E-2</v>
      </c>
      <c r="H38" s="13"/>
      <c r="I38" s="14">
        <f>310/31</f>
        <v>10</v>
      </c>
      <c r="J38" s="14">
        <f>280/28</f>
        <v>10</v>
      </c>
      <c r="K38" s="14">
        <v>15.2</v>
      </c>
      <c r="L38" s="14">
        <f>516/30</f>
        <v>17.2</v>
      </c>
      <c r="M38" s="14">
        <v>19.5</v>
      </c>
      <c r="N38" s="14">
        <f>697/30</f>
        <v>23.233333333333334</v>
      </c>
      <c r="O38" s="14">
        <v>24.4</v>
      </c>
      <c r="P38" s="14">
        <f>763/31</f>
        <v>24.612903225806452</v>
      </c>
      <c r="Q38" s="14">
        <f>724/30</f>
        <v>24.133333333333333</v>
      </c>
      <c r="R38" s="14">
        <f>744/31</f>
        <v>24</v>
      </c>
      <c r="S38" s="14">
        <f>690/30</f>
        <v>23</v>
      </c>
      <c r="T38" s="14">
        <v>22.9</v>
      </c>
      <c r="U38" s="3"/>
    </row>
    <row r="39" spans="1:21" s="15" customFormat="1" ht="15.75" customHeight="1" x14ac:dyDescent="0.3">
      <c r="A39" s="9">
        <v>1944</v>
      </c>
      <c r="B39" s="9">
        <v>12</v>
      </c>
      <c r="C39" s="10">
        <f t="shared" si="0"/>
        <v>19.200716845878137</v>
      </c>
      <c r="D39" s="10">
        <f t="shared" si="1"/>
        <v>230.40860215053763</v>
      </c>
      <c r="E39" s="11">
        <v>316.62</v>
      </c>
      <c r="F39" s="14">
        <f t="shared" si="2"/>
        <v>16.490009333582229</v>
      </c>
      <c r="G39" s="12">
        <f t="shared" si="3"/>
        <v>6.0642779501857549E-2</v>
      </c>
      <c r="H39" s="13"/>
      <c r="I39" s="14">
        <f>643/31</f>
        <v>20.741935483870968</v>
      </c>
      <c r="J39" s="14">
        <v>19.8</v>
      </c>
      <c r="K39" s="14">
        <v>19.2</v>
      </c>
      <c r="L39" s="14">
        <f>559/30</f>
        <v>18.633333333333333</v>
      </c>
      <c r="M39" s="14">
        <v>18.600000000000001</v>
      </c>
      <c r="N39" s="14">
        <f>570/30</f>
        <v>19</v>
      </c>
      <c r="O39" s="14">
        <v>18.5</v>
      </c>
      <c r="P39" s="14">
        <f>558/31</f>
        <v>18</v>
      </c>
      <c r="Q39" s="14">
        <f>598/30</f>
        <v>19.933333333333334</v>
      </c>
      <c r="R39" s="14">
        <f>620/31</f>
        <v>20</v>
      </c>
      <c r="S39" s="14">
        <f>570/30</f>
        <v>19</v>
      </c>
      <c r="T39" s="14">
        <f>589/31</f>
        <v>19</v>
      </c>
      <c r="U39" s="3"/>
    </row>
    <row r="40" spans="1:21" s="15" customFormat="1" ht="15.75" customHeight="1" x14ac:dyDescent="0.3">
      <c r="A40" s="9">
        <v>1945</v>
      </c>
      <c r="B40" s="9">
        <v>12</v>
      </c>
      <c r="C40" s="10">
        <f t="shared" si="0"/>
        <v>23.844982078853047</v>
      </c>
      <c r="D40" s="10">
        <f t="shared" si="1"/>
        <v>286.13978494623655</v>
      </c>
      <c r="E40" s="11">
        <v>316.62</v>
      </c>
      <c r="F40" s="14">
        <f t="shared" si="2"/>
        <v>13.278265378978618</v>
      </c>
      <c r="G40" s="12">
        <f t="shared" si="3"/>
        <v>7.5311041876233484E-2</v>
      </c>
      <c r="H40" s="13"/>
      <c r="I40" s="14">
        <v>19.399999999999999</v>
      </c>
      <c r="J40" s="14">
        <f>616/28</f>
        <v>22</v>
      </c>
      <c r="K40" s="14">
        <f>713/31</f>
        <v>23</v>
      </c>
      <c r="L40" s="14">
        <f>753/30</f>
        <v>25.1</v>
      </c>
      <c r="M40" s="14">
        <f>775/31</f>
        <v>25</v>
      </c>
      <c r="N40" s="14">
        <v>24.4</v>
      </c>
      <c r="O40" s="14">
        <f>769/31</f>
        <v>24.806451612903224</v>
      </c>
      <c r="P40" s="14">
        <f>806/31</f>
        <v>26</v>
      </c>
      <c r="Q40" s="14">
        <f>780/30</f>
        <v>26</v>
      </c>
      <c r="R40" s="14">
        <v>25</v>
      </c>
      <c r="S40" s="14">
        <f>673/30</f>
        <v>22.433333333333334</v>
      </c>
      <c r="T40" s="14">
        <f>713/31</f>
        <v>23</v>
      </c>
      <c r="U40" s="3"/>
    </row>
    <row r="41" spans="1:21" s="15" customFormat="1" ht="15.75" customHeight="1" x14ac:dyDescent="0.3">
      <c r="A41" s="9">
        <v>1946</v>
      </c>
      <c r="B41" s="9">
        <v>12</v>
      </c>
      <c r="C41" s="10">
        <f t="shared" si="0"/>
        <v>19.682974910394265</v>
      </c>
      <c r="D41" s="10">
        <f t="shared" si="1"/>
        <v>236.19569892473118</v>
      </c>
      <c r="E41" s="11">
        <v>316.62</v>
      </c>
      <c r="F41" s="14">
        <f t="shared" si="2"/>
        <v>16.08598301026122</v>
      </c>
      <c r="G41" s="12">
        <f t="shared" si="3"/>
        <v>6.2165924169017318E-2</v>
      </c>
      <c r="H41" s="13"/>
      <c r="I41" s="14">
        <v>21.9</v>
      </c>
      <c r="J41" s="14">
        <v>19.100000000000001</v>
      </c>
      <c r="K41" s="14">
        <f>741/31</f>
        <v>23.903225806451612</v>
      </c>
      <c r="L41" s="14">
        <f>613/30</f>
        <v>20.433333333333334</v>
      </c>
      <c r="M41" s="14">
        <f>596/31</f>
        <v>19.225806451612904</v>
      </c>
      <c r="N41" s="14">
        <f>540/30</f>
        <v>18</v>
      </c>
      <c r="O41" s="14">
        <v>17.8</v>
      </c>
      <c r="P41" s="14">
        <f>558/31</f>
        <v>18</v>
      </c>
      <c r="Q41" s="14">
        <f>526/30</f>
        <v>17.533333333333335</v>
      </c>
      <c r="R41" s="14">
        <v>17.7</v>
      </c>
      <c r="S41" s="14">
        <v>20.6</v>
      </c>
      <c r="T41" s="14">
        <v>22</v>
      </c>
      <c r="U41" s="3"/>
    </row>
    <row r="42" spans="1:21" s="15" customFormat="1" ht="15.75" customHeight="1" x14ac:dyDescent="0.3">
      <c r="A42" s="9">
        <v>1947</v>
      </c>
      <c r="B42" s="9">
        <v>12</v>
      </c>
      <c r="C42" s="10">
        <f t="shared" si="0"/>
        <v>22.027764976958522</v>
      </c>
      <c r="D42" s="10">
        <f t="shared" si="1"/>
        <v>264.33317972350227</v>
      </c>
      <c r="E42" s="11">
        <v>316.62</v>
      </c>
      <c r="F42" s="14">
        <f t="shared" si="2"/>
        <v>14.373677961935348</v>
      </c>
      <c r="G42" s="12">
        <f t="shared" si="3"/>
        <v>6.957161574429449E-2</v>
      </c>
      <c r="H42" s="13"/>
      <c r="I42" s="14">
        <f>698/31</f>
        <v>22.516129032258064</v>
      </c>
      <c r="J42" s="14">
        <f>662/28</f>
        <v>23.642857142857142</v>
      </c>
      <c r="K42" s="14">
        <v>24.6</v>
      </c>
      <c r="L42" s="14">
        <f>750/30</f>
        <v>25</v>
      </c>
      <c r="M42" s="14">
        <f>745/31</f>
        <v>24.032258064516128</v>
      </c>
      <c r="N42" s="14">
        <f>675/30</f>
        <v>22.5</v>
      </c>
      <c r="O42" s="14">
        <v>23.2</v>
      </c>
      <c r="P42" s="14">
        <f>739/31</f>
        <v>23.838709677419356</v>
      </c>
      <c r="Q42" s="14">
        <f>690/30</f>
        <v>23</v>
      </c>
      <c r="R42" s="14">
        <f>741/31</f>
        <v>23.903225806451612</v>
      </c>
      <c r="S42" s="14">
        <f>501/30</f>
        <v>16.7</v>
      </c>
      <c r="T42" s="14">
        <v>11.4</v>
      </c>
      <c r="U42" s="3"/>
    </row>
    <row r="43" spans="1:21" s="15" customFormat="1" ht="15.75" customHeight="1" x14ac:dyDescent="0.3">
      <c r="A43" s="9">
        <v>1948</v>
      </c>
      <c r="B43" s="9">
        <v>12</v>
      </c>
      <c r="C43" s="10">
        <f t="shared" si="0"/>
        <v>13.302777777777777</v>
      </c>
      <c r="D43" s="10">
        <f t="shared" si="1"/>
        <v>159.63333333333333</v>
      </c>
      <c r="E43" s="11">
        <v>316.62</v>
      </c>
      <c r="F43" s="14">
        <f t="shared" si="2"/>
        <v>23.801044059302569</v>
      </c>
      <c r="G43" s="12">
        <f t="shared" si="3"/>
        <v>4.201496360867215E-2</v>
      </c>
      <c r="H43" s="13"/>
      <c r="I43" s="14">
        <f>341/31</f>
        <v>11</v>
      </c>
      <c r="J43" s="14">
        <v>11</v>
      </c>
      <c r="K43" s="14">
        <v>12.2</v>
      </c>
      <c r="L43" s="14">
        <f>420/30</f>
        <v>14</v>
      </c>
      <c r="M43" s="14">
        <v>14.1</v>
      </c>
      <c r="N43" s="14">
        <f>450/30</f>
        <v>15</v>
      </c>
      <c r="O43" s="14">
        <v>17.2</v>
      </c>
      <c r="P43" s="14">
        <f>620/31</f>
        <v>20</v>
      </c>
      <c r="Q43" s="14">
        <f>597/30</f>
        <v>19.899999999999999</v>
      </c>
      <c r="R43" s="14">
        <v>19.100000000000001</v>
      </c>
      <c r="S43" s="14">
        <f>184/30</f>
        <v>6.1333333333333337</v>
      </c>
      <c r="T43" s="14">
        <v>0</v>
      </c>
      <c r="U43" s="3"/>
    </row>
    <row r="44" spans="1:21" s="15" customFormat="1" ht="15.75" customHeight="1" x14ac:dyDescent="0.3">
      <c r="A44" s="9">
        <v>1949</v>
      </c>
      <c r="B44" s="9">
        <v>12</v>
      </c>
      <c r="C44" s="10">
        <f t="shared" si="0"/>
        <v>6.1240143369175621</v>
      </c>
      <c r="D44" s="10">
        <f t="shared" si="1"/>
        <v>73.488172043010749</v>
      </c>
      <c r="E44" s="11">
        <v>316.62</v>
      </c>
      <c r="F44" s="14">
        <f t="shared" si="2"/>
        <v>51.701381247805223</v>
      </c>
      <c r="G44" s="12">
        <f t="shared" si="3"/>
        <v>1.9341843019763636E-2</v>
      </c>
      <c r="H44" s="13"/>
      <c r="I44" s="14">
        <v>0</v>
      </c>
      <c r="J44" s="14">
        <v>0</v>
      </c>
      <c r="K44" s="14">
        <v>0</v>
      </c>
      <c r="L44" s="14">
        <v>3.6</v>
      </c>
      <c r="M44" s="14">
        <f>186/31</f>
        <v>6</v>
      </c>
      <c r="N44" s="14">
        <f>283/30</f>
        <v>9.4333333333333336</v>
      </c>
      <c r="O44" s="14">
        <v>6</v>
      </c>
      <c r="P44" s="14">
        <f>118/31</f>
        <v>3.806451612903226</v>
      </c>
      <c r="Q44" s="14">
        <f>120/30</f>
        <v>4</v>
      </c>
      <c r="R44" s="14">
        <f>141/31</f>
        <v>4.5483870967741939</v>
      </c>
      <c r="S44" s="14">
        <v>15.1</v>
      </c>
      <c r="T44" s="14">
        <f>651/31</f>
        <v>21</v>
      </c>
      <c r="U44" s="3"/>
    </row>
    <row r="45" spans="1:21" s="15" customFormat="1" ht="15.75" customHeight="1" x14ac:dyDescent="0.3">
      <c r="A45" s="9">
        <v>1950</v>
      </c>
      <c r="B45" s="9">
        <v>12</v>
      </c>
      <c r="C45" s="10">
        <f t="shared" si="0"/>
        <v>21.728853046594981</v>
      </c>
      <c r="D45" s="10">
        <f t="shared" si="1"/>
        <v>260.74623655913979</v>
      </c>
      <c r="E45" s="11">
        <v>316.62</v>
      </c>
      <c r="F45" s="14">
        <f t="shared" si="2"/>
        <v>14.571408777124383</v>
      </c>
      <c r="G45" s="12">
        <f t="shared" si="3"/>
        <v>6.8627544206288235E-2</v>
      </c>
      <c r="H45" s="13"/>
      <c r="I45" s="14">
        <f>651/31</f>
        <v>21</v>
      </c>
      <c r="J45" s="14">
        <f>588/28</f>
        <v>21</v>
      </c>
      <c r="K45" s="14">
        <f>676/31</f>
        <v>21.806451612903224</v>
      </c>
      <c r="L45" s="14">
        <f>676/30</f>
        <v>22.533333333333335</v>
      </c>
      <c r="M45" s="14">
        <v>22</v>
      </c>
      <c r="N45" s="14">
        <v>21.8</v>
      </c>
      <c r="O45" s="14">
        <v>21.6</v>
      </c>
      <c r="P45" s="14">
        <f>651/31</f>
        <v>21</v>
      </c>
      <c r="Q45" s="14">
        <v>21.4</v>
      </c>
      <c r="R45" s="14">
        <f>707/31</f>
        <v>22.806451612903224</v>
      </c>
      <c r="S45" s="14">
        <v>25</v>
      </c>
      <c r="T45" s="14">
        <v>18.8</v>
      </c>
      <c r="U45" s="3"/>
    </row>
    <row r="46" spans="1:21" s="15" customFormat="1" ht="15.75" customHeight="1" x14ac:dyDescent="0.3">
      <c r="A46" s="9">
        <v>1951</v>
      </c>
      <c r="B46" s="9">
        <v>12</v>
      </c>
      <c r="C46" s="10">
        <f t="shared" si="0"/>
        <v>20.1547363031234</v>
      </c>
      <c r="D46" s="10">
        <f t="shared" si="1"/>
        <v>241.8568356374808</v>
      </c>
      <c r="E46" s="11">
        <v>316.62</v>
      </c>
      <c r="F46" s="14">
        <f t="shared" si="2"/>
        <v>15.709458820899238</v>
      </c>
      <c r="G46" s="12">
        <f t="shared" si="3"/>
        <v>6.3655916565988888E-2</v>
      </c>
      <c r="H46" s="13"/>
      <c r="I46" s="14">
        <f>575/31</f>
        <v>18.548387096774192</v>
      </c>
      <c r="J46" s="14">
        <f>550/28</f>
        <v>19.642857142857142</v>
      </c>
      <c r="K46" s="14">
        <f>527/31</f>
        <v>17</v>
      </c>
      <c r="L46" s="14">
        <v>17.600000000000001</v>
      </c>
      <c r="M46" s="14">
        <v>20</v>
      </c>
      <c r="N46" s="14">
        <v>20.8</v>
      </c>
      <c r="O46" s="14">
        <v>20.7</v>
      </c>
      <c r="P46" s="14">
        <v>22</v>
      </c>
      <c r="Q46" s="14">
        <f>643/30</f>
        <v>21.433333333333334</v>
      </c>
      <c r="R46" s="14">
        <v>22.1</v>
      </c>
      <c r="S46" s="14">
        <f>630/30</f>
        <v>21</v>
      </c>
      <c r="T46" s="14">
        <f>652/31</f>
        <v>21.032258064516128</v>
      </c>
      <c r="U46" s="3"/>
    </row>
    <row r="47" spans="1:21" s="15" customFormat="1" ht="15.75" customHeight="1" x14ac:dyDescent="0.3">
      <c r="A47" s="9">
        <v>1952</v>
      </c>
      <c r="B47" s="9">
        <v>12</v>
      </c>
      <c r="C47" s="10">
        <f t="shared" si="0"/>
        <v>18.495250896057346</v>
      </c>
      <c r="D47" s="10">
        <f t="shared" si="1"/>
        <v>221.94301075268817</v>
      </c>
      <c r="E47" s="11">
        <v>316.62</v>
      </c>
      <c r="F47" s="14">
        <f t="shared" si="2"/>
        <v>17.118989181568455</v>
      </c>
      <c r="G47" s="12">
        <f t="shared" si="3"/>
        <v>5.8414663938024587E-2</v>
      </c>
      <c r="H47" s="13"/>
      <c r="I47" s="14">
        <v>21.2</v>
      </c>
      <c r="J47" s="14">
        <v>20.8</v>
      </c>
      <c r="K47" s="14">
        <v>19</v>
      </c>
      <c r="L47" s="14">
        <f>552/30</f>
        <v>18.399999999999999</v>
      </c>
      <c r="M47" s="14">
        <f>552/31</f>
        <v>17.806451612903224</v>
      </c>
      <c r="N47" s="14">
        <f>505/30</f>
        <v>16.833333333333332</v>
      </c>
      <c r="O47" s="14">
        <v>17.5</v>
      </c>
      <c r="P47" s="14">
        <f>558/31</f>
        <v>18</v>
      </c>
      <c r="Q47" s="14">
        <v>20.7</v>
      </c>
      <c r="R47" s="14">
        <v>18.100000000000001</v>
      </c>
      <c r="S47" s="14">
        <f>381/30</f>
        <v>12.7</v>
      </c>
      <c r="T47" s="14">
        <f>648/31</f>
        <v>20.903225806451612</v>
      </c>
      <c r="U47" s="3"/>
    </row>
    <row r="48" spans="1:21" s="15" customFormat="1" ht="15.75" customHeight="1" x14ac:dyDescent="0.3">
      <c r="A48" s="9">
        <v>1953</v>
      </c>
      <c r="B48" s="9">
        <v>12</v>
      </c>
      <c r="C48" s="10">
        <f t="shared" si="0"/>
        <v>18.518279569892474</v>
      </c>
      <c r="D48" s="10">
        <f t="shared" si="1"/>
        <v>222.21935483870968</v>
      </c>
      <c r="E48" s="11">
        <v>316.62</v>
      </c>
      <c r="F48" s="14">
        <f t="shared" si="2"/>
        <v>17.097700615491814</v>
      </c>
      <c r="G48" s="12">
        <f t="shared" si="3"/>
        <v>5.8487396784449731E-2</v>
      </c>
      <c r="H48" s="13"/>
      <c r="I48" s="14">
        <v>17.899999999999999</v>
      </c>
      <c r="J48" s="14">
        <v>18.2</v>
      </c>
      <c r="K48" s="14">
        <v>20.3</v>
      </c>
      <c r="L48" s="14">
        <v>23.1</v>
      </c>
      <c r="M48" s="14">
        <v>21.1</v>
      </c>
      <c r="N48" s="14">
        <v>21.2</v>
      </c>
      <c r="O48" s="14">
        <f>702/31</f>
        <v>22.64516129032258</v>
      </c>
      <c r="P48" s="14">
        <f>655/31</f>
        <v>21.129032258064516</v>
      </c>
      <c r="Q48" s="14">
        <f>606/30</f>
        <v>20.2</v>
      </c>
      <c r="R48" s="14">
        <f>549/31</f>
        <v>17.70967741935484</v>
      </c>
      <c r="S48" s="14">
        <f>294/30</f>
        <v>9.8000000000000007</v>
      </c>
      <c r="T48" s="14">
        <f>277/31</f>
        <v>8.935483870967742</v>
      </c>
      <c r="U48" s="3"/>
    </row>
    <row r="49" spans="1:21" s="15" customFormat="1" ht="15.75" customHeight="1" x14ac:dyDescent="0.3">
      <c r="A49" s="9">
        <v>1954</v>
      </c>
      <c r="B49" s="9">
        <v>12</v>
      </c>
      <c r="C49" s="10">
        <f t="shared" si="0"/>
        <v>10.403584229390683</v>
      </c>
      <c r="D49" s="10">
        <f t="shared" si="1"/>
        <v>124.84301075268819</v>
      </c>
      <c r="E49" s="11">
        <v>316.62</v>
      </c>
      <c r="F49" s="14">
        <f t="shared" si="2"/>
        <v>30.433742162199401</v>
      </c>
      <c r="G49" s="12">
        <f t="shared" si="3"/>
        <v>3.2858266153087873E-2</v>
      </c>
      <c r="H49" s="13"/>
      <c r="I49" s="14">
        <f>372/31</f>
        <v>12</v>
      </c>
      <c r="J49" s="14">
        <f>336/28</f>
        <v>12</v>
      </c>
      <c r="K49" s="14">
        <v>8.4</v>
      </c>
      <c r="L49" s="14">
        <v>4.0999999999999996</v>
      </c>
      <c r="M49" s="14">
        <f>155/31</f>
        <v>5</v>
      </c>
      <c r="N49" s="14">
        <f>210/30</f>
        <v>7</v>
      </c>
      <c r="O49" s="14">
        <f>332/31</f>
        <v>10.709677419354838</v>
      </c>
      <c r="P49" s="14">
        <f>372/31</f>
        <v>12</v>
      </c>
      <c r="Q49" s="14">
        <v>12</v>
      </c>
      <c r="R49" s="14">
        <v>14</v>
      </c>
      <c r="S49" s="14">
        <f>457/30</f>
        <v>15.233333333333333</v>
      </c>
      <c r="T49" s="14">
        <v>12.4</v>
      </c>
      <c r="U49" s="3"/>
    </row>
    <row r="50" spans="1:21" s="15" customFormat="1" ht="15.75" customHeight="1" x14ac:dyDescent="0.3">
      <c r="A50" s="9">
        <v>1955</v>
      </c>
      <c r="B50" s="9">
        <v>12</v>
      </c>
      <c r="C50" s="10">
        <f t="shared" si="0"/>
        <v>16.249193548387098</v>
      </c>
      <c r="D50" s="10">
        <f t="shared" si="1"/>
        <v>194.99032258064517</v>
      </c>
      <c r="E50" s="11">
        <v>316.62</v>
      </c>
      <c r="F50" s="14">
        <f t="shared" si="2"/>
        <v>19.485274703459229</v>
      </c>
      <c r="G50" s="12">
        <f t="shared" si="3"/>
        <v>5.1320805850505642E-2</v>
      </c>
      <c r="H50" s="13"/>
      <c r="I50" s="14">
        <f>500/31</f>
        <v>16.129032258064516</v>
      </c>
      <c r="J50" s="14">
        <v>14.7</v>
      </c>
      <c r="K50" s="14">
        <f>450/31</f>
        <v>14.516129032258064</v>
      </c>
      <c r="L50" s="14">
        <f>399/30</f>
        <v>13.3</v>
      </c>
      <c r="M50" s="14">
        <f>524/31</f>
        <v>16.903225806451612</v>
      </c>
      <c r="N50" s="14">
        <f>540/30</f>
        <v>18</v>
      </c>
      <c r="O50" s="14">
        <f>550/31</f>
        <v>17.741935483870968</v>
      </c>
      <c r="P50" s="14">
        <v>16</v>
      </c>
      <c r="Q50" s="14">
        <f>480/30</f>
        <v>16</v>
      </c>
      <c r="R50" s="14">
        <v>14.9</v>
      </c>
      <c r="S50" s="14">
        <v>14.8</v>
      </c>
      <c r="T50" s="14">
        <f>682/31</f>
        <v>22</v>
      </c>
      <c r="U50" s="3"/>
    </row>
    <row r="51" spans="1:21" s="15" customFormat="1" ht="15.75" customHeight="1" x14ac:dyDescent="0.3">
      <c r="A51" s="9">
        <v>1956</v>
      </c>
      <c r="B51" s="9">
        <v>12</v>
      </c>
      <c r="C51" s="10">
        <f t="shared" si="0"/>
        <v>24.227777777777778</v>
      </c>
      <c r="D51" s="10">
        <f t="shared" si="1"/>
        <v>290.73333333333335</v>
      </c>
      <c r="E51" s="11">
        <v>316.62</v>
      </c>
      <c r="F51" s="14">
        <f t="shared" si="2"/>
        <v>13.068470534281129</v>
      </c>
      <c r="G51" s="12">
        <f t="shared" si="3"/>
        <v>7.6520048568560983E-2</v>
      </c>
      <c r="H51" s="13"/>
      <c r="I51" s="14">
        <f>682/31</f>
        <v>22</v>
      </c>
      <c r="J51" s="14">
        <v>22</v>
      </c>
      <c r="K51" s="14">
        <v>24</v>
      </c>
      <c r="L51" s="14">
        <f>780/30</f>
        <v>26</v>
      </c>
      <c r="M51" s="14">
        <f>806/31</f>
        <v>26</v>
      </c>
      <c r="N51" s="14">
        <f>780/30</f>
        <v>26</v>
      </c>
      <c r="O51" s="14">
        <f>806/31</f>
        <v>26</v>
      </c>
      <c r="P51" s="14">
        <f>806/31</f>
        <v>26</v>
      </c>
      <c r="Q51" s="14">
        <f>804/30</f>
        <v>26.8</v>
      </c>
      <c r="R51" s="14">
        <f>806/31</f>
        <v>26</v>
      </c>
      <c r="S51" s="14">
        <f>718/30</f>
        <v>23.933333333333334</v>
      </c>
      <c r="T51" s="14">
        <f>496/31</f>
        <v>16</v>
      </c>
      <c r="U51" s="3"/>
    </row>
    <row r="52" spans="1:21" s="15" customFormat="1" ht="15.75" customHeight="1" x14ac:dyDescent="0.3">
      <c r="A52" s="9">
        <v>1957</v>
      </c>
      <c r="B52" s="9">
        <v>12</v>
      </c>
      <c r="C52" s="10">
        <f t="shared" si="0"/>
        <v>21.32804659498208</v>
      </c>
      <c r="D52" s="10">
        <f t="shared" si="1"/>
        <v>255.93655913978498</v>
      </c>
      <c r="E52" s="11">
        <v>316.62</v>
      </c>
      <c r="F52" s="14">
        <f t="shared" si="2"/>
        <v>14.845241386264236</v>
      </c>
      <c r="G52" s="12">
        <f t="shared" si="3"/>
        <v>6.7361653069869493E-2</v>
      </c>
      <c r="H52" s="13"/>
      <c r="I52" s="14">
        <f>527/31</f>
        <v>17</v>
      </c>
      <c r="J52" s="14">
        <f>476/28</f>
        <v>17</v>
      </c>
      <c r="K52" s="14">
        <f>609/31</f>
        <v>19.64516129032258</v>
      </c>
      <c r="L52" s="14">
        <f>615/30</f>
        <v>20.5</v>
      </c>
      <c r="M52" s="14">
        <f>651/31</f>
        <v>21</v>
      </c>
      <c r="N52" s="14">
        <v>21.3</v>
      </c>
      <c r="O52" s="14">
        <f>701/31</f>
        <v>22.612903225806452</v>
      </c>
      <c r="P52" s="14">
        <v>21.1</v>
      </c>
      <c r="Q52" s="14">
        <f>597/30</f>
        <v>19.899999999999999</v>
      </c>
      <c r="R52" s="14">
        <v>19.899999999999999</v>
      </c>
      <c r="S52" s="14">
        <f>670/30</f>
        <v>22.333333333333332</v>
      </c>
      <c r="T52" s="14">
        <f>1043/31</f>
        <v>33.645161290322584</v>
      </c>
      <c r="U52" s="3"/>
    </row>
    <row r="53" spans="1:21" s="15" customFormat="1" ht="15.75" customHeight="1" x14ac:dyDescent="0.3">
      <c r="A53" s="9">
        <v>1958</v>
      </c>
      <c r="B53" s="9">
        <v>12</v>
      </c>
      <c r="C53" s="10">
        <f t="shared" si="0"/>
        <v>18.618817204301077</v>
      </c>
      <c r="D53" s="10">
        <f t="shared" si="1"/>
        <v>223.42580645161291</v>
      </c>
      <c r="E53" s="11">
        <v>316.62</v>
      </c>
      <c r="F53" s="14">
        <f t="shared" si="2"/>
        <v>17.00537668562848</v>
      </c>
      <c r="G53" s="12">
        <f t="shared" si="3"/>
        <v>5.8804930845496421E-2</v>
      </c>
      <c r="H53" s="13"/>
      <c r="I53" s="14">
        <f>701/31</f>
        <v>22.612903225806452</v>
      </c>
      <c r="J53" s="14">
        <f>644/28</f>
        <v>23</v>
      </c>
      <c r="K53" s="14">
        <v>27.8</v>
      </c>
      <c r="L53" s="14">
        <v>34.5</v>
      </c>
      <c r="M53" s="14">
        <f>453/31</f>
        <v>14.612903225806452</v>
      </c>
      <c r="N53" s="14">
        <f>0</f>
        <v>0</v>
      </c>
      <c r="O53" s="14">
        <v>0</v>
      </c>
      <c r="P53" s="14">
        <v>0</v>
      </c>
      <c r="Q53" s="14">
        <v>12.1</v>
      </c>
      <c r="R53" s="14">
        <f>899/31</f>
        <v>29</v>
      </c>
      <c r="S53" s="14">
        <f>870/30</f>
        <v>29</v>
      </c>
      <c r="T53" s="14">
        <v>30.8</v>
      </c>
      <c r="U53" s="3"/>
    </row>
    <row r="54" spans="1:21" s="15" customFormat="1" ht="15.75" customHeight="1" x14ac:dyDescent="0.3">
      <c r="A54" s="9">
        <v>1959</v>
      </c>
      <c r="B54" s="9">
        <v>12</v>
      </c>
      <c r="C54" s="10">
        <f t="shared" si="0"/>
        <v>30.919354838709676</v>
      </c>
      <c r="D54" s="10">
        <f t="shared" si="1"/>
        <v>371.0322580645161</v>
      </c>
      <c r="E54" s="11">
        <v>316.62</v>
      </c>
      <c r="F54" s="14">
        <f t="shared" si="2"/>
        <v>10.24018779342723</v>
      </c>
      <c r="G54" s="12">
        <f t="shared" si="3"/>
        <v>9.7654459095160365E-2</v>
      </c>
      <c r="H54" s="13"/>
      <c r="I54" s="14">
        <f>909/31</f>
        <v>29.322580645161292</v>
      </c>
      <c r="J54" s="14">
        <f>756/28</f>
        <v>27</v>
      </c>
      <c r="K54" s="14">
        <f>834/31</f>
        <v>26.903225806451612</v>
      </c>
      <c r="L54" s="14">
        <v>26.9</v>
      </c>
      <c r="M54" s="14">
        <f>930/31</f>
        <v>30</v>
      </c>
      <c r="N54" s="14">
        <v>28.9</v>
      </c>
      <c r="O54" s="14">
        <v>30.6</v>
      </c>
      <c r="P54" s="14">
        <v>29.3</v>
      </c>
      <c r="Q54" s="14">
        <f>945/30</f>
        <v>31.5</v>
      </c>
      <c r="R54" s="14">
        <v>34.4</v>
      </c>
      <c r="S54" s="14">
        <f>1122/30</f>
        <v>37.4</v>
      </c>
      <c r="T54" s="14">
        <f>1203/31</f>
        <v>38.806451612903224</v>
      </c>
      <c r="U54" s="3"/>
    </row>
    <row r="55" spans="1:21" s="15" customFormat="1" ht="15.75" customHeight="1" x14ac:dyDescent="0.3">
      <c r="A55" s="9">
        <v>1960</v>
      </c>
      <c r="B55" s="9">
        <v>12</v>
      </c>
      <c r="C55" s="10">
        <f t="shared" si="0"/>
        <v>34.497401433691756</v>
      </c>
      <c r="D55" s="10">
        <f t="shared" si="1"/>
        <v>413.9688172043011</v>
      </c>
      <c r="E55" s="11">
        <v>316.62</v>
      </c>
      <c r="F55" s="14">
        <f t="shared" si="2"/>
        <v>9.1780826045284183</v>
      </c>
      <c r="G55" s="12">
        <f t="shared" si="3"/>
        <v>0.10895521898077114</v>
      </c>
      <c r="H55" s="13"/>
      <c r="I55" s="14">
        <f>1414/31</f>
        <v>45.612903225806448</v>
      </c>
      <c r="J55" s="14">
        <v>45</v>
      </c>
      <c r="K55" s="14">
        <v>44</v>
      </c>
      <c r="L55" s="14">
        <v>44.3</v>
      </c>
      <c r="M55" s="14">
        <v>43.4</v>
      </c>
      <c r="N55" s="14">
        <f>1315/30</f>
        <v>43.833333333333336</v>
      </c>
      <c r="O55" s="14">
        <f>909/31</f>
        <v>29.322580645161292</v>
      </c>
      <c r="P55" s="14">
        <f>0</f>
        <v>0</v>
      </c>
      <c r="Q55" s="14">
        <f>810/30</f>
        <v>27</v>
      </c>
      <c r="R55" s="14">
        <v>45.2</v>
      </c>
      <c r="S55" s="14">
        <v>26.3</v>
      </c>
      <c r="T55" s="14">
        <f>620/31</f>
        <v>20</v>
      </c>
      <c r="U55" s="3"/>
    </row>
    <row r="56" spans="1:21" s="15" customFormat="1" ht="15.75" customHeight="1" x14ac:dyDescent="0.3">
      <c r="A56" s="9">
        <v>1961</v>
      </c>
      <c r="B56" s="9">
        <v>12</v>
      </c>
      <c r="C56" s="10">
        <f t="shared" si="0"/>
        <v>24.883333333333336</v>
      </c>
      <c r="D56" s="10">
        <f t="shared" si="1"/>
        <v>298.60000000000002</v>
      </c>
      <c r="E56" s="11">
        <v>316.62</v>
      </c>
      <c r="F56" s="14">
        <f t="shared" si="2"/>
        <v>12.72417950435365</v>
      </c>
      <c r="G56" s="12">
        <f t="shared" si="3"/>
        <v>7.8590529130608724E-2</v>
      </c>
      <c r="H56" s="13"/>
      <c r="I56" s="14">
        <f>620/31</f>
        <v>20</v>
      </c>
      <c r="J56" s="14">
        <v>20.9</v>
      </c>
      <c r="K56" s="14">
        <v>20.9</v>
      </c>
      <c r="L56" s="14">
        <f>630/30</f>
        <v>21</v>
      </c>
      <c r="M56" s="14">
        <f>651/31</f>
        <v>21</v>
      </c>
      <c r="N56" s="14">
        <f>630/30</f>
        <v>21</v>
      </c>
      <c r="O56" s="14">
        <f>651/31</f>
        <v>21</v>
      </c>
      <c r="P56" s="14">
        <f>651/31</f>
        <v>21</v>
      </c>
      <c r="Q56" s="14">
        <v>20.8</v>
      </c>
      <c r="R56" s="14">
        <f>620/31</f>
        <v>20</v>
      </c>
      <c r="S56" s="14">
        <v>35</v>
      </c>
      <c r="T56" s="14">
        <f>1736/31</f>
        <v>56</v>
      </c>
      <c r="U56" s="3"/>
    </row>
    <row r="57" spans="1:21" s="15" customFormat="1" ht="15.75" customHeight="1" x14ac:dyDescent="0.3">
      <c r="A57" s="9">
        <v>1962</v>
      </c>
      <c r="B57" s="9">
        <v>12</v>
      </c>
      <c r="C57" s="10">
        <f t="shared" si="0"/>
        <v>34.575268817204297</v>
      </c>
      <c r="D57" s="10">
        <f t="shared" si="1"/>
        <v>414.90322580645159</v>
      </c>
      <c r="E57" s="11">
        <v>316.62</v>
      </c>
      <c r="F57" s="14">
        <f t="shared" si="2"/>
        <v>9.1574125330430736</v>
      </c>
      <c r="G57" s="12">
        <f t="shared" si="3"/>
        <v>0.10920115222413081</v>
      </c>
      <c r="H57" s="13"/>
      <c r="I57" s="14">
        <v>55.9</v>
      </c>
      <c r="J57" s="14">
        <f>1568/28</f>
        <v>56</v>
      </c>
      <c r="K57" s="14">
        <v>54.2</v>
      </c>
      <c r="L57" s="14">
        <v>55.7</v>
      </c>
      <c r="M57" s="14">
        <v>57.4</v>
      </c>
      <c r="N57" s="14">
        <f>1770/30</f>
        <v>59</v>
      </c>
      <c r="O57" s="14">
        <f>59/31</f>
        <v>1.903225806451613</v>
      </c>
      <c r="P57" s="14">
        <f>0</f>
        <v>0</v>
      </c>
      <c r="Q57" s="14">
        <v>0</v>
      </c>
      <c r="R57" s="14">
        <v>28.1</v>
      </c>
      <c r="S57" s="14">
        <v>21.7</v>
      </c>
      <c r="T57" s="14">
        <f>775/31</f>
        <v>25</v>
      </c>
      <c r="U57" s="3"/>
    </row>
    <row r="58" spans="1:21" s="15" customFormat="1" ht="15.75" customHeight="1" x14ac:dyDescent="0.3">
      <c r="A58" s="9">
        <v>1963</v>
      </c>
      <c r="B58" s="9">
        <v>12</v>
      </c>
      <c r="C58" s="10">
        <f t="shared" si="0"/>
        <v>26.57204301075269</v>
      </c>
      <c r="D58" s="10">
        <f t="shared" si="1"/>
        <v>318.86451612903227</v>
      </c>
      <c r="E58" s="11">
        <v>316.62</v>
      </c>
      <c r="F58" s="14">
        <f t="shared" si="2"/>
        <v>11.915530916154095</v>
      </c>
      <c r="G58" s="12">
        <f t="shared" si="3"/>
        <v>8.392408253032875E-2</v>
      </c>
      <c r="H58" s="13"/>
      <c r="I58" s="14">
        <v>24.3</v>
      </c>
      <c r="J58" s="14">
        <f>672/28</f>
        <v>24</v>
      </c>
      <c r="K58" s="14">
        <f>791/31</f>
        <v>25.516129032258064</v>
      </c>
      <c r="L58" s="14">
        <f>810/30</f>
        <v>27</v>
      </c>
      <c r="M58" s="14">
        <f>854/31</f>
        <v>27.548387096774192</v>
      </c>
      <c r="N58" s="14">
        <v>27.7</v>
      </c>
      <c r="O58" s="14">
        <f>837/31</f>
        <v>27</v>
      </c>
      <c r="P58" s="14">
        <v>27</v>
      </c>
      <c r="Q58" s="14">
        <f>807/30</f>
        <v>26.9</v>
      </c>
      <c r="R58" s="14">
        <f>806/31</f>
        <v>26</v>
      </c>
      <c r="S58" s="14">
        <f>807/30</f>
        <v>26.9</v>
      </c>
      <c r="T58" s="14">
        <f>899/31</f>
        <v>29</v>
      </c>
      <c r="U58" s="3"/>
    </row>
    <row r="59" spans="1:21" ht="15.75" customHeight="1" x14ac:dyDescent="0.25">
      <c r="A59" s="9">
        <v>1964</v>
      </c>
      <c r="B59" s="9">
        <v>12</v>
      </c>
      <c r="C59" s="10">
        <f t="shared" si="0"/>
        <v>21.541666666666668</v>
      </c>
      <c r="D59" s="10">
        <f t="shared" si="1"/>
        <v>258.5</v>
      </c>
      <c r="E59" s="11">
        <v>316.62</v>
      </c>
      <c r="F59" s="14">
        <f t="shared" si="2"/>
        <v>14.698027079303674</v>
      </c>
      <c r="G59" s="12">
        <f t="shared" si="3"/>
        <v>6.803634219779757E-2</v>
      </c>
      <c r="H59" s="13"/>
      <c r="I59" s="14">
        <v>29.2</v>
      </c>
      <c r="J59" s="14">
        <v>27</v>
      </c>
      <c r="K59" s="14">
        <v>26</v>
      </c>
      <c r="L59" s="14">
        <v>28.6</v>
      </c>
      <c r="M59" s="14">
        <v>28</v>
      </c>
      <c r="N59" s="14">
        <v>28.1</v>
      </c>
      <c r="O59" s="14">
        <v>0</v>
      </c>
      <c r="P59" s="14">
        <v>0</v>
      </c>
      <c r="Q59" s="14">
        <v>0.8</v>
      </c>
      <c r="R59" s="14">
        <v>31</v>
      </c>
      <c r="S59" s="14">
        <v>30.1</v>
      </c>
      <c r="T59" s="14">
        <v>29.7</v>
      </c>
    </row>
    <row r="60" spans="1:21" ht="15.75" customHeight="1" x14ac:dyDescent="0.25">
      <c r="A60" s="9">
        <v>1965</v>
      </c>
      <c r="B60" s="9">
        <v>12</v>
      </c>
      <c r="C60" s="10">
        <f t="shared" si="0"/>
        <v>29.458333333333329</v>
      </c>
      <c r="D60" s="10">
        <f t="shared" si="1"/>
        <v>353.49999999999994</v>
      </c>
      <c r="E60" s="11">
        <v>316.62</v>
      </c>
      <c r="F60" s="14">
        <f t="shared" si="2"/>
        <v>10.74806223479491</v>
      </c>
      <c r="G60" s="12">
        <f t="shared" si="3"/>
        <v>9.3040026951340185E-2</v>
      </c>
      <c r="H60" s="13"/>
      <c r="I60" s="14">
        <v>28.7</v>
      </c>
      <c r="J60" s="14">
        <v>28.3</v>
      </c>
      <c r="K60" s="14">
        <v>28.8</v>
      </c>
      <c r="L60" s="14">
        <v>31</v>
      </c>
      <c r="M60" s="14">
        <v>29.1</v>
      </c>
      <c r="N60" s="14">
        <v>29</v>
      </c>
      <c r="O60" s="14">
        <v>29</v>
      </c>
      <c r="P60" s="14">
        <v>28.1</v>
      </c>
      <c r="Q60" s="14">
        <v>27.9</v>
      </c>
      <c r="R60" s="14">
        <v>27.7</v>
      </c>
      <c r="S60" s="14">
        <v>30.9</v>
      </c>
      <c r="T60" s="14">
        <v>35</v>
      </c>
    </row>
    <row r="61" spans="1:21" ht="15.75" customHeight="1" x14ac:dyDescent="0.25">
      <c r="A61" s="9">
        <v>1966</v>
      </c>
      <c r="B61" s="9">
        <v>12</v>
      </c>
      <c r="C61" s="10">
        <f t="shared" si="0"/>
        <v>27.125</v>
      </c>
      <c r="D61" s="10">
        <f t="shared" si="1"/>
        <v>325.5</v>
      </c>
      <c r="E61" s="11">
        <v>316.62</v>
      </c>
      <c r="F61" s="14">
        <f t="shared" si="2"/>
        <v>11.672626728110599</v>
      </c>
      <c r="G61" s="12">
        <f t="shared" si="3"/>
        <v>8.5670519866085523E-2</v>
      </c>
      <c r="H61" s="13"/>
      <c r="I61" s="14">
        <v>35</v>
      </c>
      <c r="J61" s="14">
        <v>34.799999999999997</v>
      </c>
      <c r="K61" s="14">
        <v>37.4</v>
      </c>
      <c r="L61" s="14">
        <v>38</v>
      </c>
      <c r="M61" s="14">
        <v>38</v>
      </c>
      <c r="N61" s="14">
        <v>37.6</v>
      </c>
      <c r="O61" s="14">
        <v>0</v>
      </c>
      <c r="P61" s="14">
        <v>0</v>
      </c>
      <c r="Q61" s="14">
        <v>1.2</v>
      </c>
      <c r="R61" s="14">
        <v>35</v>
      </c>
      <c r="S61" s="14">
        <v>34.5</v>
      </c>
      <c r="T61" s="14">
        <v>34</v>
      </c>
    </row>
    <row r="62" spans="1:21" ht="15.75" customHeight="1" x14ac:dyDescent="0.25">
      <c r="A62" s="9">
        <v>1967</v>
      </c>
      <c r="B62" s="9">
        <v>12</v>
      </c>
      <c r="C62" s="10">
        <f t="shared" si="0"/>
        <v>65.508333333333326</v>
      </c>
      <c r="D62" s="10">
        <f t="shared" si="1"/>
        <v>786.09999999999991</v>
      </c>
      <c r="E62" s="11">
        <v>316.62</v>
      </c>
      <c r="F62" s="14">
        <f t="shared" si="2"/>
        <v>4.8332782088792783</v>
      </c>
      <c r="G62" s="12">
        <f t="shared" si="3"/>
        <v>0.20689891141852482</v>
      </c>
      <c r="H62" s="13"/>
      <c r="I62" s="14">
        <v>34</v>
      </c>
      <c r="J62" s="14">
        <v>34</v>
      </c>
      <c r="K62" s="14">
        <v>36.4</v>
      </c>
      <c r="L62" s="14">
        <v>37</v>
      </c>
      <c r="M62" s="14">
        <v>37</v>
      </c>
      <c r="N62" s="14">
        <v>37</v>
      </c>
      <c r="O62" s="14">
        <v>37</v>
      </c>
      <c r="P62" s="14">
        <v>370</v>
      </c>
      <c r="Q62" s="14">
        <v>36.299999999999997</v>
      </c>
      <c r="R62" s="14">
        <v>35.4</v>
      </c>
      <c r="S62" s="14">
        <v>45.2</v>
      </c>
      <c r="T62" s="14">
        <v>46.8</v>
      </c>
    </row>
    <row r="63" spans="1:21" ht="15.75" customHeight="1" x14ac:dyDescent="0.25">
      <c r="A63" s="9">
        <v>1968</v>
      </c>
      <c r="B63" s="9">
        <v>12</v>
      </c>
      <c r="C63" s="10">
        <f t="shared" si="0"/>
        <v>32.224999999999994</v>
      </c>
      <c r="D63" s="10">
        <f t="shared" si="1"/>
        <v>386.69999999999993</v>
      </c>
      <c r="E63" s="11">
        <v>316.62</v>
      </c>
      <c r="F63" s="14">
        <f t="shared" si="2"/>
        <v>9.8252909231962775</v>
      </c>
      <c r="G63" s="12">
        <f t="shared" si="3"/>
        <v>0.10177815678099929</v>
      </c>
      <c r="H63" s="13"/>
      <c r="I63" s="14">
        <v>46</v>
      </c>
      <c r="J63" s="14">
        <v>46</v>
      </c>
      <c r="K63" s="14">
        <v>46.6</v>
      </c>
      <c r="L63" s="14">
        <v>46.3</v>
      </c>
      <c r="M63" s="14">
        <v>46</v>
      </c>
      <c r="N63" s="14">
        <v>44.8</v>
      </c>
      <c r="O63" s="14">
        <v>0</v>
      </c>
      <c r="P63" s="14">
        <v>0</v>
      </c>
      <c r="Q63" s="14">
        <v>3.9</v>
      </c>
      <c r="R63" s="14">
        <v>39</v>
      </c>
      <c r="S63" s="14">
        <v>33.700000000000003</v>
      </c>
      <c r="T63" s="14">
        <v>34.4</v>
      </c>
    </row>
    <row r="64" spans="1:21" ht="15.75" customHeight="1" x14ac:dyDescent="0.25">
      <c r="A64" s="9">
        <v>1969</v>
      </c>
      <c r="B64" s="9">
        <v>12</v>
      </c>
      <c r="C64" s="10">
        <f t="shared" si="0"/>
        <v>34.68333333333333</v>
      </c>
      <c r="D64" s="10">
        <f t="shared" si="1"/>
        <v>416.2</v>
      </c>
      <c r="E64" s="11">
        <v>316.62</v>
      </c>
      <c r="F64" s="14">
        <f t="shared" si="2"/>
        <v>9.1288803459875076</v>
      </c>
      <c r="G64" s="12">
        <f t="shared" si="3"/>
        <v>0.10954245888867832</v>
      </c>
      <c r="H64" s="13"/>
      <c r="I64" s="14">
        <v>36</v>
      </c>
      <c r="J64" s="14">
        <v>34.5</v>
      </c>
      <c r="K64" s="14">
        <v>35.299999999999997</v>
      </c>
      <c r="L64" s="14">
        <v>35.1</v>
      </c>
      <c r="M64" s="14">
        <v>35.4</v>
      </c>
      <c r="N64" s="14">
        <v>35.6</v>
      </c>
      <c r="O64" s="14">
        <v>36</v>
      </c>
      <c r="P64" s="14">
        <v>36</v>
      </c>
      <c r="Q64" s="14">
        <v>36</v>
      </c>
      <c r="R64" s="14">
        <v>35</v>
      </c>
      <c r="S64" s="14">
        <v>33.5</v>
      </c>
      <c r="T64" s="14">
        <v>27.8</v>
      </c>
    </row>
    <row r="65" spans="1:20" ht="15.75" customHeight="1" x14ac:dyDescent="0.25">
      <c r="A65" s="9">
        <v>1970</v>
      </c>
      <c r="B65" s="9">
        <v>12</v>
      </c>
      <c r="C65" s="10">
        <f t="shared" si="0"/>
        <v>18.649999999999999</v>
      </c>
      <c r="D65" s="10">
        <f t="shared" si="1"/>
        <v>223.79999999999998</v>
      </c>
      <c r="E65" s="11">
        <v>316.62</v>
      </c>
      <c r="F65" s="14">
        <f t="shared" si="2"/>
        <v>16.976943699731905</v>
      </c>
      <c r="G65" s="12">
        <f t="shared" si="3"/>
        <v>5.8903417345714103E-2</v>
      </c>
      <c r="H65" s="13"/>
      <c r="I65" s="14">
        <v>28</v>
      </c>
      <c r="J65" s="14">
        <v>28</v>
      </c>
      <c r="K65" s="14">
        <v>27</v>
      </c>
      <c r="L65" s="14">
        <v>27.4</v>
      </c>
      <c r="M65" s="14">
        <v>27.6</v>
      </c>
      <c r="N65" s="14">
        <v>9.6999999999999993</v>
      </c>
      <c r="O65" s="14">
        <v>0</v>
      </c>
      <c r="P65" s="14">
        <v>0</v>
      </c>
      <c r="Q65" s="14">
        <v>0</v>
      </c>
      <c r="R65" s="14">
        <v>26.6</v>
      </c>
      <c r="S65" s="14">
        <v>24.8</v>
      </c>
      <c r="T65" s="14">
        <v>24.7</v>
      </c>
    </row>
    <row r="66" spans="1:20" ht="15.75" customHeight="1" x14ac:dyDescent="0.25">
      <c r="A66" s="9">
        <v>1971</v>
      </c>
      <c r="B66" s="9">
        <v>12</v>
      </c>
      <c r="C66" s="10">
        <f t="shared" si="0"/>
        <v>23.616666666666664</v>
      </c>
      <c r="D66" s="10">
        <f t="shared" si="1"/>
        <v>283.39999999999998</v>
      </c>
      <c r="E66" s="11">
        <v>316.62</v>
      </c>
      <c r="F66" s="14">
        <f t="shared" si="2"/>
        <v>13.406633733239239</v>
      </c>
      <c r="G66" s="12">
        <f t="shared" si="3"/>
        <v>7.4589939570041897E-2</v>
      </c>
      <c r="H66" s="13"/>
      <c r="I66" s="14">
        <v>26.2</v>
      </c>
      <c r="J66" s="14">
        <v>24.8</v>
      </c>
      <c r="K66" s="14">
        <v>24.6</v>
      </c>
      <c r="L66" s="14">
        <v>25</v>
      </c>
      <c r="M66" s="14">
        <v>25.6</v>
      </c>
      <c r="N66" s="14">
        <v>26</v>
      </c>
      <c r="O66" s="14">
        <v>26</v>
      </c>
      <c r="P66" s="14">
        <v>26</v>
      </c>
      <c r="Q66" s="14">
        <v>25.9</v>
      </c>
      <c r="R66" s="14">
        <v>25</v>
      </c>
      <c r="S66" s="14">
        <v>3.3</v>
      </c>
      <c r="T66" s="14">
        <v>25</v>
      </c>
    </row>
    <row r="67" spans="1:20" ht="15.75" customHeight="1" x14ac:dyDescent="0.25">
      <c r="A67" s="9">
        <v>1972</v>
      </c>
      <c r="B67" s="9">
        <v>12</v>
      </c>
      <c r="C67" s="10">
        <f t="shared" ref="C67:C105" si="4">D67/B67</f>
        <v>17.475000000000005</v>
      </c>
      <c r="D67" s="10">
        <f t="shared" ref="D67:D105" si="5">SUM(I67:T67)</f>
        <v>209.70000000000005</v>
      </c>
      <c r="E67" s="11">
        <v>316.62</v>
      </c>
      <c r="F67" s="14">
        <f t="shared" ref="F67:F105" si="6">E67/C67</f>
        <v>18.118454935622314</v>
      </c>
      <c r="G67" s="12">
        <f t="shared" si="3"/>
        <v>5.5192344134925159E-2</v>
      </c>
      <c r="H67" s="13"/>
      <c r="I67" s="14">
        <v>24.4</v>
      </c>
      <c r="J67" s="14">
        <v>24</v>
      </c>
      <c r="K67" s="14">
        <v>24</v>
      </c>
      <c r="L67" s="14">
        <v>20.399999999999999</v>
      </c>
      <c r="M67" s="14">
        <v>20</v>
      </c>
      <c r="N67" s="14">
        <v>20</v>
      </c>
      <c r="O67" s="14">
        <v>1.3</v>
      </c>
      <c r="P67" s="14">
        <v>0</v>
      </c>
      <c r="Q67" s="14">
        <v>0</v>
      </c>
      <c r="R67" s="14">
        <v>21.3</v>
      </c>
      <c r="S67" s="14">
        <v>22</v>
      </c>
      <c r="T67" s="14">
        <v>32.299999999999997</v>
      </c>
    </row>
    <row r="68" spans="1:20" ht="15.75" customHeight="1" x14ac:dyDescent="0.25">
      <c r="A68" s="9">
        <v>1973</v>
      </c>
      <c r="B68" s="9">
        <v>12</v>
      </c>
      <c r="C68" s="10">
        <f t="shared" si="4"/>
        <v>9.4166666666666661</v>
      </c>
      <c r="D68" s="10">
        <f t="shared" si="5"/>
        <v>113</v>
      </c>
      <c r="E68" s="11">
        <v>316.62</v>
      </c>
      <c r="F68" s="14">
        <f t="shared" si="6"/>
        <v>33.623362831858408</v>
      </c>
      <c r="G68" s="12">
        <f t="shared" ref="G68:G105" si="7">C68/E68</f>
        <v>2.9741225022634911E-2</v>
      </c>
      <c r="H68" s="13"/>
      <c r="I68" s="14">
        <v>46.5</v>
      </c>
      <c r="J68" s="14">
        <v>49</v>
      </c>
      <c r="K68" s="14">
        <v>17.5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</row>
    <row r="69" spans="1:20" ht="15.75" customHeight="1" x14ac:dyDescent="0.25">
      <c r="A69" s="9">
        <v>1974</v>
      </c>
      <c r="B69" s="9">
        <v>12</v>
      </c>
      <c r="C69" s="10">
        <f t="shared" si="4"/>
        <v>17.341666666666665</v>
      </c>
      <c r="D69" s="10">
        <f t="shared" si="5"/>
        <v>208.1</v>
      </c>
      <c r="E69" s="11">
        <v>316.62</v>
      </c>
      <c r="F69" s="14">
        <f t="shared" si="6"/>
        <v>18.257760691975015</v>
      </c>
      <c r="G69" s="12">
        <f t="shared" si="7"/>
        <v>5.477122944433916E-2</v>
      </c>
      <c r="H69" s="13"/>
      <c r="I69" s="14">
        <v>0</v>
      </c>
      <c r="J69" s="14">
        <v>1.8</v>
      </c>
      <c r="K69" s="14">
        <v>26.9</v>
      </c>
      <c r="L69" s="14">
        <v>27</v>
      </c>
      <c r="M69" s="14">
        <v>27</v>
      </c>
      <c r="N69" s="14">
        <v>27</v>
      </c>
      <c r="O69" s="14">
        <v>27</v>
      </c>
      <c r="P69" s="14">
        <v>27</v>
      </c>
      <c r="Q69" s="14">
        <v>27</v>
      </c>
      <c r="R69" s="14">
        <v>17.399999999999999</v>
      </c>
      <c r="S69" s="14">
        <v>0</v>
      </c>
      <c r="T69" s="14">
        <v>0</v>
      </c>
    </row>
    <row r="70" spans="1:20" ht="15.75" customHeight="1" x14ac:dyDescent="0.25">
      <c r="A70" s="9">
        <v>1975</v>
      </c>
      <c r="B70" s="9">
        <v>12</v>
      </c>
      <c r="C70" s="10">
        <f t="shared" si="4"/>
        <v>3.1916666666666664</v>
      </c>
      <c r="D70" s="10">
        <f t="shared" si="5"/>
        <v>38.299999999999997</v>
      </c>
      <c r="E70" s="11">
        <v>316.62</v>
      </c>
      <c r="F70" s="14">
        <f t="shared" si="6"/>
        <v>99.202088772845968</v>
      </c>
      <c r="G70" s="12">
        <f t="shared" si="7"/>
        <v>1.0080432905901921E-2</v>
      </c>
      <c r="H70" s="13"/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14.3</v>
      </c>
      <c r="T70" s="14">
        <v>24</v>
      </c>
    </row>
    <row r="71" spans="1:20" ht="15.75" customHeight="1" x14ac:dyDescent="0.25">
      <c r="A71" s="9">
        <v>1976</v>
      </c>
      <c r="B71" s="9">
        <v>12</v>
      </c>
      <c r="C71" s="10">
        <f t="shared" si="4"/>
        <v>4.2333333333333334</v>
      </c>
      <c r="D71" s="10">
        <f t="shared" si="5"/>
        <v>50.8</v>
      </c>
      <c r="E71" s="11">
        <v>316.62</v>
      </c>
      <c r="F71" s="14">
        <f t="shared" si="6"/>
        <v>74.792125984251967</v>
      </c>
      <c r="G71" s="12">
        <f t="shared" si="7"/>
        <v>1.33703914261049E-2</v>
      </c>
      <c r="H71" s="13"/>
      <c r="I71" s="14">
        <v>25</v>
      </c>
      <c r="J71" s="14">
        <v>25</v>
      </c>
      <c r="K71" s="14">
        <v>0.8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</row>
    <row r="72" spans="1:20" ht="15.75" customHeight="1" x14ac:dyDescent="0.25">
      <c r="A72" s="9">
        <v>1977</v>
      </c>
      <c r="B72" s="9">
        <v>12</v>
      </c>
      <c r="C72" s="10">
        <f t="shared" si="4"/>
        <v>37.666666666666664</v>
      </c>
      <c r="D72" s="10">
        <f t="shared" si="5"/>
        <v>452</v>
      </c>
      <c r="E72" s="11">
        <v>316.62</v>
      </c>
      <c r="F72" s="14">
        <f t="shared" si="6"/>
        <v>8.405840707964602</v>
      </c>
      <c r="G72" s="12">
        <f t="shared" si="7"/>
        <v>0.11896490009053964</v>
      </c>
      <c r="H72" s="13"/>
      <c r="I72" s="14">
        <v>0</v>
      </c>
      <c r="J72" s="14">
        <v>0</v>
      </c>
      <c r="K72" s="14">
        <v>56.5</v>
      </c>
      <c r="L72" s="14">
        <v>56.5</v>
      </c>
      <c r="M72" s="14">
        <v>56.5</v>
      </c>
      <c r="N72" s="14">
        <v>56.5</v>
      </c>
      <c r="O72" s="14">
        <v>56.5</v>
      </c>
      <c r="P72" s="14">
        <v>56.5</v>
      </c>
      <c r="Q72" s="14">
        <v>56.5</v>
      </c>
      <c r="R72" s="14">
        <v>56.5</v>
      </c>
      <c r="S72" s="14">
        <v>0</v>
      </c>
      <c r="T72" s="14">
        <v>0</v>
      </c>
    </row>
    <row r="73" spans="1:20" ht="15.75" customHeight="1" x14ac:dyDescent="0.25">
      <c r="A73" s="9">
        <v>1978</v>
      </c>
      <c r="B73" s="9">
        <v>12</v>
      </c>
      <c r="C73" s="10">
        <f t="shared" si="4"/>
        <v>8.6666666666666661</v>
      </c>
      <c r="D73" s="10">
        <f t="shared" si="5"/>
        <v>104</v>
      </c>
      <c r="E73" s="11">
        <v>316.62</v>
      </c>
      <c r="F73" s="14">
        <f t="shared" si="6"/>
        <v>36.533076923076926</v>
      </c>
      <c r="G73" s="12">
        <f t="shared" si="7"/>
        <v>2.737245488808877E-2</v>
      </c>
      <c r="H73" s="13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52</v>
      </c>
      <c r="T73" s="14">
        <v>52</v>
      </c>
    </row>
    <row r="74" spans="1:20" ht="15.75" customHeight="1" x14ac:dyDescent="0.25">
      <c r="A74" s="9">
        <v>1979</v>
      </c>
      <c r="B74" s="9">
        <v>12</v>
      </c>
      <c r="C74" s="10">
        <f t="shared" si="4"/>
        <v>8.6666666666666661</v>
      </c>
      <c r="D74" s="10">
        <f t="shared" si="5"/>
        <v>104</v>
      </c>
      <c r="E74" s="11">
        <v>316.62</v>
      </c>
      <c r="F74" s="14">
        <f t="shared" si="6"/>
        <v>36.533076923076926</v>
      </c>
      <c r="G74" s="12">
        <f t="shared" si="7"/>
        <v>2.737245488808877E-2</v>
      </c>
      <c r="H74" s="13"/>
      <c r="I74" s="14">
        <v>52</v>
      </c>
      <c r="J74" s="14">
        <v>52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</row>
    <row r="75" spans="1:20" ht="15.75" customHeight="1" x14ac:dyDescent="0.25">
      <c r="A75" s="9">
        <v>1980</v>
      </c>
      <c r="B75" s="9">
        <v>12</v>
      </c>
      <c r="C75" s="10">
        <f t="shared" si="4"/>
        <v>37.666666666666664</v>
      </c>
      <c r="D75" s="10">
        <f t="shared" si="5"/>
        <v>452</v>
      </c>
      <c r="E75" s="11">
        <v>316.62</v>
      </c>
      <c r="F75" s="14">
        <f t="shared" si="6"/>
        <v>8.405840707964602</v>
      </c>
      <c r="G75" s="12">
        <f t="shared" si="7"/>
        <v>0.11896490009053964</v>
      </c>
      <c r="H75" s="13"/>
      <c r="I75" s="14">
        <v>0</v>
      </c>
      <c r="J75" s="14">
        <v>0</v>
      </c>
      <c r="K75" s="14">
        <v>56.5</v>
      </c>
      <c r="L75" s="14">
        <v>56.5</v>
      </c>
      <c r="M75" s="14">
        <v>56.5</v>
      </c>
      <c r="N75" s="14">
        <v>56.5</v>
      </c>
      <c r="O75" s="14">
        <v>56.5</v>
      </c>
      <c r="P75" s="14">
        <v>56.5</v>
      </c>
      <c r="Q75" s="14">
        <v>56.5</v>
      </c>
      <c r="R75" s="14">
        <v>56.5</v>
      </c>
      <c r="S75" s="14">
        <v>0</v>
      </c>
      <c r="T75" s="14">
        <v>0</v>
      </c>
    </row>
    <row r="76" spans="1:20" ht="15.75" customHeight="1" x14ac:dyDescent="0.25">
      <c r="A76" s="9">
        <v>1981</v>
      </c>
      <c r="B76" s="9">
        <v>12</v>
      </c>
      <c r="C76" s="10">
        <f t="shared" si="4"/>
        <v>8.6666666666666661</v>
      </c>
      <c r="D76" s="10">
        <f t="shared" si="5"/>
        <v>104</v>
      </c>
      <c r="E76" s="11">
        <v>316.62</v>
      </c>
      <c r="F76" s="14">
        <f t="shared" si="6"/>
        <v>36.533076923076926</v>
      </c>
      <c r="G76" s="12">
        <f t="shared" si="7"/>
        <v>2.737245488808877E-2</v>
      </c>
      <c r="H76" s="13"/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52</v>
      </c>
      <c r="T76" s="14">
        <v>52</v>
      </c>
    </row>
    <row r="77" spans="1:20" ht="15.75" customHeight="1" x14ac:dyDescent="0.25">
      <c r="A77" s="9">
        <v>1982</v>
      </c>
      <c r="B77" s="9">
        <v>12</v>
      </c>
      <c r="C77" s="10">
        <f t="shared" si="4"/>
        <v>8.6666666666666661</v>
      </c>
      <c r="D77" s="10">
        <f t="shared" si="5"/>
        <v>104</v>
      </c>
      <c r="E77" s="11">
        <v>316.62</v>
      </c>
      <c r="F77" s="14">
        <f t="shared" si="6"/>
        <v>36.533076923076926</v>
      </c>
      <c r="G77" s="12">
        <f t="shared" si="7"/>
        <v>2.737245488808877E-2</v>
      </c>
      <c r="H77" s="13"/>
      <c r="I77" s="14">
        <v>52</v>
      </c>
      <c r="J77" s="14">
        <v>52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</row>
    <row r="78" spans="1:20" ht="15.75" customHeight="1" x14ac:dyDescent="0.25">
      <c r="A78" s="16">
        <v>1983</v>
      </c>
      <c r="B78" s="9">
        <v>12</v>
      </c>
      <c r="C78" s="10">
        <f t="shared" si="4"/>
        <v>42.666666666666664</v>
      </c>
      <c r="D78" s="10">
        <f t="shared" si="5"/>
        <v>512</v>
      </c>
      <c r="E78" s="11">
        <v>316.62</v>
      </c>
      <c r="F78" s="14">
        <f t="shared" si="6"/>
        <v>7.4207812500000001</v>
      </c>
      <c r="G78" s="12">
        <f t="shared" si="7"/>
        <v>0.13475670098751394</v>
      </c>
      <c r="H78" s="13"/>
      <c r="I78" s="14">
        <v>0</v>
      </c>
      <c r="J78" s="14">
        <v>0</v>
      </c>
      <c r="K78" s="14">
        <v>64</v>
      </c>
      <c r="L78" s="14">
        <v>64</v>
      </c>
      <c r="M78" s="14">
        <v>64</v>
      </c>
      <c r="N78" s="14">
        <v>64</v>
      </c>
      <c r="O78" s="14">
        <v>64</v>
      </c>
      <c r="P78" s="14">
        <v>64</v>
      </c>
      <c r="Q78" s="14">
        <v>64</v>
      </c>
      <c r="R78" s="14">
        <v>64</v>
      </c>
      <c r="S78" s="14">
        <v>0</v>
      </c>
      <c r="T78" s="14">
        <v>0</v>
      </c>
    </row>
    <row r="79" spans="1:20" ht="15.75" customHeight="1" x14ac:dyDescent="0.25">
      <c r="A79" s="16">
        <v>1984</v>
      </c>
      <c r="B79" s="9">
        <v>12</v>
      </c>
      <c r="C79" s="10">
        <f t="shared" si="4"/>
        <v>9.8333333333333339</v>
      </c>
      <c r="D79" s="10">
        <f t="shared" si="5"/>
        <v>118</v>
      </c>
      <c r="E79" s="11">
        <v>316.62</v>
      </c>
      <c r="F79" s="14">
        <f t="shared" si="6"/>
        <v>32.198644067796607</v>
      </c>
      <c r="G79" s="12">
        <f t="shared" si="7"/>
        <v>3.1057208430716108E-2</v>
      </c>
      <c r="H79" s="13"/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59</v>
      </c>
      <c r="T79" s="14">
        <v>59</v>
      </c>
    </row>
    <row r="80" spans="1:20" ht="15.75" customHeight="1" x14ac:dyDescent="0.25">
      <c r="A80" s="16">
        <v>1985</v>
      </c>
      <c r="B80" s="9">
        <v>12</v>
      </c>
      <c r="C80" s="10">
        <f t="shared" si="4"/>
        <v>9.8333333333333339</v>
      </c>
      <c r="D80" s="10">
        <f t="shared" si="5"/>
        <v>118</v>
      </c>
      <c r="E80" s="11">
        <v>316.62</v>
      </c>
      <c r="F80" s="14">
        <f t="shared" si="6"/>
        <v>32.198644067796607</v>
      </c>
      <c r="G80" s="12">
        <f t="shared" si="7"/>
        <v>3.1057208430716108E-2</v>
      </c>
      <c r="H80" s="13"/>
      <c r="I80" s="14">
        <v>59</v>
      </c>
      <c r="J80" s="14">
        <v>59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</row>
    <row r="81" spans="1:20" ht="15.75" customHeight="1" x14ac:dyDescent="0.25">
      <c r="A81" s="16">
        <v>1986</v>
      </c>
      <c r="B81" s="9">
        <v>12</v>
      </c>
      <c r="C81" s="10">
        <f t="shared" si="4"/>
        <v>45.333333333333336</v>
      </c>
      <c r="D81" s="10">
        <f t="shared" si="5"/>
        <v>544</v>
      </c>
      <c r="E81" s="11">
        <v>316.62</v>
      </c>
      <c r="F81" s="14">
        <f t="shared" si="6"/>
        <v>6.984264705882353</v>
      </c>
      <c r="G81" s="12">
        <f t="shared" si="7"/>
        <v>0.14317899479923357</v>
      </c>
      <c r="H81" s="13"/>
      <c r="I81" s="14">
        <v>0</v>
      </c>
      <c r="J81" s="14">
        <v>0</v>
      </c>
      <c r="K81" s="14">
        <v>63</v>
      </c>
      <c r="L81" s="14">
        <v>63</v>
      </c>
      <c r="M81" s="14">
        <v>63</v>
      </c>
      <c r="N81" s="14">
        <v>63</v>
      </c>
      <c r="O81" s="14">
        <v>63</v>
      </c>
      <c r="P81" s="14">
        <v>63</v>
      </c>
      <c r="Q81" s="14">
        <v>63</v>
      </c>
      <c r="R81" s="14">
        <v>63</v>
      </c>
      <c r="S81" s="14">
        <v>20</v>
      </c>
      <c r="T81" s="14">
        <v>20</v>
      </c>
    </row>
    <row r="82" spans="1:20" ht="15.75" customHeight="1" x14ac:dyDescent="0.25">
      <c r="A82" s="16">
        <v>1987</v>
      </c>
      <c r="B82" s="9">
        <v>12</v>
      </c>
      <c r="C82" s="10">
        <f t="shared" si="4"/>
        <v>25.75</v>
      </c>
      <c r="D82" s="10">
        <f t="shared" si="5"/>
        <v>309</v>
      </c>
      <c r="E82" s="11">
        <v>316.62</v>
      </c>
      <c r="F82" s="14">
        <f t="shared" si="6"/>
        <v>12.295922330097088</v>
      </c>
      <c r="G82" s="12">
        <f t="shared" si="7"/>
        <v>8.1327774619417592E-2</v>
      </c>
      <c r="H82" s="13"/>
      <c r="I82" s="14">
        <v>20</v>
      </c>
      <c r="J82" s="14">
        <v>20</v>
      </c>
      <c r="K82" s="14">
        <v>20</v>
      </c>
      <c r="L82" s="14">
        <v>20</v>
      </c>
      <c r="M82" s="14">
        <v>20</v>
      </c>
      <c r="N82" s="14">
        <v>20</v>
      </c>
      <c r="O82" s="14">
        <v>20</v>
      </c>
      <c r="P82" s="14">
        <v>20</v>
      </c>
      <c r="Q82" s="14">
        <v>20</v>
      </c>
      <c r="R82" s="14">
        <v>20</v>
      </c>
      <c r="S82" s="14">
        <v>54.5</v>
      </c>
      <c r="T82" s="14">
        <v>54.5</v>
      </c>
    </row>
    <row r="83" spans="1:20" ht="15.75" customHeight="1" x14ac:dyDescent="0.25">
      <c r="A83" s="16">
        <v>1988</v>
      </c>
      <c r="B83" s="9">
        <v>12</v>
      </c>
      <c r="C83" s="10">
        <f t="shared" si="4"/>
        <v>48.75</v>
      </c>
      <c r="D83" s="10">
        <f t="shared" si="5"/>
        <v>585</v>
      </c>
      <c r="E83" s="11">
        <v>316.62</v>
      </c>
      <c r="F83" s="14">
        <f t="shared" si="6"/>
        <v>6.4947692307692311</v>
      </c>
      <c r="G83" s="12">
        <f t="shared" si="7"/>
        <v>0.15397005874549932</v>
      </c>
      <c r="H83" s="13"/>
      <c r="I83" s="14">
        <v>54.5</v>
      </c>
      <c r="J83" s="14">
        <v>54.5</v>
      </c>
      <c r="K83" s="14">
        <v>54.5</v>
      </c>
      <c r="L83" s="14">
        <v>54.5</v>
      </c>
      <c r="M83" s="14">
        <v>54.5</v>
      </c>
      <c r="N83" s="14">
        <v>54.5</v>
      </c>
      <c r="O83" s="14">
        <v>54.5</v>
      </c>
      <c r="P83" s="14">
        <v>54.5</v>
      </c>
      <c r="Q83" s="14">
        <v>54.5</v>
      </c>
      <c r="R83" s="14">
        <v>54.5</v>
      </c>
      <c r="S83" s="14">
        <v>20</v>
      </c>
      <c r="T83" s="14">
        <v>20</v>
      </c>
    </row>
    <row r="84" spans="1:20" ht="15.75" customHeight="1" x14ac:dyDescent="0.25">
      <c r="A84" s="16">
        <v>1989</v>
      </c>
      <c r="B84" s="9">
        <v>12</v>
      </c>
      <c r="C84" s="10">
        <f t="shared" si="4"/>
        <v>21</v>
      </c>
      <c r="D84" s="10">
        <f t="shared" si="5"/>
        <v>252</v>
      </c>
      <c r="E84" s="11">
        <v>316.62</v>
      </c>
      <c r="F84" s="14">
        <f t="shared" si="6"/>
        <v>15.077142857142857</v>
      </c>
      <c r="G84" s="12">
        <f t="shared" si="7"/>
        <v>6.6325563767292026E-2</v>
      </c>
      <c r="H84" s="13"/>
      <c r="I84" s="14">
        <v>20</v>
      </c>
      <c r="J84" s="14">
        <v>20</v>
      </c>
      <c r="K84" s="14">
        <v>21.5</v>
      </c>
      <c r="L84" s="14">
        <v>21.5</v>
      </c>
      <c r="M84" s="14">
        <v>21.5</v>
      </c>
      <c r="N84" s="14">
        <v>21.5</v>
      </c>
      <c r="O84" s="14">
        <v>21.5</v>
      </c>
      <c r="P84" s="14">
        <v>21.5</v>
      </c>
      <c r="Q84" s="14">
        <v>21.5</v>
      </c>
      <c r="R84" s="14">
        <v>21.5</v>
      </c>
      <c r="S84" s="14">
        <v>20</v>
      </c>
      <c r="T84" s="14">
        <v>20</v>
      </c>
    </row>
    <row r="85" spans="1:20" ht="15.75" customHeight="1" x14ac:dyDescent="0.25">
      <c r="A85" s="16">
        <v>1990</v>
      </c>
      <c r="B85" s="9">
        <v>12</v>
      </c>
      <c r="C85" s="10">
        <f t="shared" si="4"/>
        <v>21</v>
      </c>
      <c r="D85" s="10">
        <f t="shared" si="5"/>
        <v>252</v>
      </c>
      <c r="E85" s="11">
        <v>316.62</v>
      </c>
      <c r="F85" s="14">
        <f t="shared" si="6"/>
        <v>15.077142857142857</v>
      </c>
      <c r="G85" s="12">
        <f t="shared" si="7"/>
        <v>6.6325563767292026E-2</v>
      </c>
      <c r="H85" s="13"/>
      <c r="I85" s="14">
        <v>20</v>
      </c>
      <c r="J85" s="14">
        <v>20</v>
      </c>
      <c r="K85" s="14">
        <v>21.5</v>
      </c>
      <c r="L85" s="14">
        <v>21.5</v>
      </c>
      <c r="M85" s="14">
        <v>21.5</v>
      </c>
      <c r="N85" s="14">
        <v>21.5</v>
      </c>
      <c r="O85" s="14">
        <v>21.5</v>
      </c>
      <c r="P85" s="14">
        <v>21.5</v>
      </c>
      <c r="Q85" s="14">
        <v>21.5</v>
      </c>
      <c r="R85" s="14">
        <v>21.5</v>
      </c>
      <c r="S85" s="14">
        <v>20</v>
      </c>
      <c r="T85" s="14">
        <v>20</v>
      </c>
    </row>
    <row r="86" spans="1:20" ht="15.75" customHeight="1" x14ac:dyDescent="0.25">
      <c r="A86" s="16">
        <v>1991</v>
      </c>
      <c r="B86" s="9">
        <v>12</v>
      </c>
      <c r="C86" s="10">
        <f t="shared" si="4"/>
        <v>21</v>
      </c>
      <c r="D86" s="10">
        <f t="shared" si="5"/>
        <v>252</v>
      </c>
      <c r="E86" s="11">
        <v>316.62</v>
      </c>
      <c r="F86" s="14">
        <f t="shared" si="6"/>
        <v>15.077142857142857</v>
      </c>
      <c r="G86" s="12">
        <f t="shared" si="7"/>
        <v>6.6325563767292026E-2</v>
      </c>
      <c r="H86" s="13"/>
      <c r="I86" s="14">
        <v>20</v>
      </c>
      <c r="J86" s="14">
        <v>20</v>
      </c>
      <c r="K86" s="14">
        <v>21.5</v>
      </c>
      <c r="L86" s="14">
        <v>21.5</v>
      </c>
      <c r="M86" s="14">
        <v>21.5</v>
      </c>
      <c r="N86" s="14">
        <v>21.5</v>
      </c>
      <c r="O86" s="14">
        <v>21.5</v>
      </c>
      <c r="P86" s="14">
        <v>21.5</v>
      </c>
      <c r="Q86" s="14">
        <v>21.5</v>
      </c>
      <c r="R86" s="14">
        <v>21.5</v>
      </c>
      <c r="S86" s="14">
        <v>20</v>
      </c>
      <c r="T86" s="14">
        <v>20</v>
      </c>
    </row>
    <row r="87" spans="1:20" ht="15.75" customHeight="1" x14ac:dyDescent="0.25">
      <c r="A87" s="16">
        <v>1992</v>
      </c>
      <c r="B87" s="9">
        <v>12</v>
      </c>
      <c r="C87" s="10">
        <f t="shared" si="4"/>
        <v>21.833333333333332</v>
      </c>
      <c r="D87" s="10">
        <f t="shared" si="5"/>
        <v>262</v>
      </c>
      <c r="E87" s="11">
        <v>316.62</v>
      </c>
      <c r="F87" s="14">
        <f t="shared" si="6"/>
        <v>14.501679389312978</v>
      </c>
      <c r="G87" s="12">
        <f t="shared" si="7"/>
        <v>6.8957530583454399E-2</v>
      </c>
      <c r="H87" s="13"/>
      <c r="I87" s="14">
        <v>20</v>
      </c>
      <c r="J87" s="14">
        <v>20</v>
      </c>
      <c r="K87" s="14">
        <v>21.5</v>
      </c>
      <c r="L87" s="14">
        <v>21.5</v>
      </c>
      <c r="M87" s="14">
        <v>21.5</v>
      </c>
      <c r="N87" s="14">
        <v>21.5</v>
      </c>
      <c r="O87" s="14">
        <v>21.5</v>
      </c>
      <c r="P87" s="14">
        <v>21.5</v>
      </c>
      <c r="Q87" s="14">
        <v>21.5</v>
      </c>
      <c r="R87" s="14">
        <v>21.5</v>
      </c>
      <c r="S87" s="14">
        <v>25</v>
      </c>
      <c r="T87" s="14">
        <v>25</v>
      </c>
    </row>
    <row r="88" spans="1:20" ht="15.75" customHeight="1" x14ac:dyDescent="0.25">
      <c r="A88" s="16">
        <v>1993</v>
      </c>
      <c r="B88" s="9">
        <v>12</v>
      </c>
      <c r="C88" s="10">
        <f t="shared" si="4"/>
        <v>26</v>
      </c>
      <c r="D88" s="10">
        <f t="shared" si="5"/>
        <v>312</v>
      </c>
      <c r="E88" s="11">
        <v>316.62</v>
      </c>
      <c r="F88" s="14">
        <f t="shared" si="6"/>
        <v>12.177692307692308</v>
      </c>
      <c r="G88" s="12">
        <f t="shared" si="7"/>
        <v>8.2117364664266307E-2</v>
      </c>
      <c r="H88" s="13"/>
      <c r="I88" s="14">
        <v>25</v>
      </c>
      <c r="J88" s="14">
        <v>25</v>
      </c>
      <c r="K88" s="14">
        <v>26.5</v>
      </c>
      <c r="L88" s="14">
        <v>26.5</v>
      </c>
      <c r="M88" s="14">
        <v>26.5</v>
      </c>
      <c r="N88" s="14">
        <v>26.5</v>
      </c>
      <c r="O88" s="14">
        <v>26.5</v>
      </c>
      <c r="P88" s="14">
        <v>26.5</v>
      </c>
      <c r="Q88" s="14">
        <v>26.5</v>
      </c>
      <c r="R88" s="14">
        <v>26.5</v>
      </c>
      <c r="S88" s="14">
        <v>25</v>
      </c>
      <c r="T88" s="14">
        <v>25</v>
      </c>
    </row>
    <row r="89" spans="1:20" ht="15.75" customHeight="1" x14ac:dyDescent="0.25">
      <c r="A89" s="16">
        <v>1994</v>
      </c>
      <c r="B89" s="9">
        <v>12</v>
      </c>
      <c r="C89" s="10">
        <f t="shared" si="4"/>
        <v>26</v>
      </c>
      <c r="D89" s="10">
        <f t="shared" si="5"/>
        <v>312</v>
      </c>
      <c r="E89" s="11">
        <v>316.62</v>
      </c>
      <c r="F89" s="14">
        <f t="shared" si="6"/>
        <v>12.177692307692308</v>
      </c>
      <c r="G89" s="12">
        <f t="shared" si="7"/>
        <v>8.2117364664266307E-2</v>
      </c>
      <c r="H89" s="13"/>
      <c r="I89" s="14">
        <v>25</v>
      </c>
      <c r="J89" s="14">
        <v>25</v>
      </c>
      <c r="K89" s="14">
        <v>26.5</v>
      </c>
      <c r="L89" s="14">
        <v>26.5</v>
      </c>
      <c r="M89" s="14">
        <v>26.5</v>
      </c>
      <c r="N89" s="14">
        <v>26.5</v>
      </c>
      <c r="O89" s="14">
        <v>26.5</v>
      </c>
      <c r="P89" s="14">
        <v>26.5</v>
      </c>
      <c r="Q89" s="14">
        <v>26.5</v>
      </c>
      <c r="R89" s="14">
        <v>26.5</v>
      </c>
      <c r="S89" s="14">
        <v>25</v>
      </c>
      <c r="T89" s="14">
        <v>25</v>
      </c>
    </row>
    <row r="90" spans="1:20" ht="15.75" customHeight="1" x14ac:dyDescent="0.25">
      <c r="A90" s="16">
        <v>1995</v>
      </c>
      <c r="B90" s="9">
        <v>12</v>
      </c>
      <c r="C90" s="10">
        <f t="shared" si="4"/>
        <v>22.833333333333332</v>
      </c>
      <c r="D90" s="10">
        <f t="shared" si="5"/>
        <v>274</v>
      </c>
      <c r="E90" s="11">
        <v>316.62</v>
      </c>
      <c r="F90" s="14">
        <f t="shared" si="6"/>
        <v>13.866569343065695</v>
      </c>
      <c r="G90" s="12">
        <f t="shared" si="7"/>
        <v>7.2115890762849258E-2</v>
      </c>
      <c r="H90" s="13"/>
      <c r="I90" s="14">
        <v>25</v>
      </c>
      <c r="J90" s="14">
        <v>25</v>
      </c>
      <c r="K90" s="14">
        <v>28</v>
      </c>
      <c r="L90" s="14">
        <v>28</v>
      </c>
      <c r="M90" s="14">
        <v>28</v>
      </c>
      <c r="N90" s="14">
        <v>28</v>
      </c>
      <c r="O90" s="14">
        <v>28</v>
      </c>
      <c r="P90" s="14">
        <v>28</v>
      </c>
      <c r="Q90" s="14">
        <v>28</v>
      </c>
      <c r="R90" s="14">
        <v>28</v>
      </c>
      <c r="S90" s="14">
        <v>0</v>
      </c>
      <c r="T90" s="14">
        <v>0</v>
      </c>
    </row>
    <row r="91" spans="1:20" ht="15.75" customHeight="1" x14ac:dyDescent="0.25">
      <c r="A91" s="16">
        <v>1996</v>
      </c>
      <c r="B91" s="9">
        <v>12</v>
      </c>
      <c r="C91" s="10">
        <f t="shared" si="4"/>
        <v>4.416666666666667</v>
      </c>
      <c r="D91" s="10">
        <f t="shared" si="5"/>
        <v>53</v>
      </c>
      <c r="E91" s="11">
        <v>316.62</v>
      </c>
      <c r="F91" s="14">
        <f t="shared" si="6"/>
        <v>71.68754716981131</v>
      </c>
      <c r="G91" s="12">
        <f t="shared" si="7"/>
        <v>1.3949424125660624E-2</v>
      </c>
      <c r="H91" s="13"/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26.5</v>
      </c>
      <c r="T91" s="14">
        <v>26.5</v>
      </c>
    </row>
    <row r="92" spans="1:20" ht="15.75" customHeight="1" x14ac:dyDescent="0.25">
      <c r="A92" s="16">
        <v>1997</v>
      </c>
      <c r="B92" s="9">
        <v>12</v>
      </c>
      <c r="C92" s="10">
        <f t="shared" si="4"/>
        <v>26.5</v>
      </c>
      <c r="D92" s="10">
        <f t="shared" si="5"/>
        <v>318</v>
      </c>
      <c r="E92" s="11">
        <v>316.62</v>
      </c>
      <c r="F92" s="14">
        <f t="shared" si="6"/>
        <v>11.947924528301886</v>
      </c>
      <c r="G92" s="12">
        <f t="shared" si="7"/>
        <v>8.3696544753963736E-2</v>
      </c>
      <c r="H92" s="13"/>
      <c r="I92" s="14">
        <v>26.5</v>
      </c>
      <c r="J92" s="14">
        <v>26.5</v>
      </c>
      <c r="K92" s="14">
        <v>26.5</v>
      </c>
      <c r="L92" s="14">
        <v>26.5</v>
      </c>
      <c r="M92" s="14">
        <v>26.5</v>
      </c>
      <c r="N92" s="14">
        <v>26.5</v>
      </c>
      <c r="O92" s="14">
        <v>26.5</v>
      </c>
      <c r="P92" s="14">
        <v>26.5</v>
      </c>
      <c r="Q92" s="14">
        <v>26.5</v>
      </c>
      <c r="R92" s="14">
        <v>26.5</v>
      </c>
      <c r="S92" s="14">
        <v>26.5</v>
      </c>
      <c r="T92" s="14">
        <v>26.5</v>
      </c>
    </row>
    <row r="93" spans="1:20" ht="15.75" customHeight="1" x14ac:dyDescent="0.25">
      <c r="A93" s="16">
        <v>1998</v>
      </c>
      <c r="B93" s="9">
        <v>12</v>
      </c>
      <c r="C93" s="10">
        <f t="shared" si="4"/>
        <v>26.25</v>
      </c>
      <c r="D93" s="10">
        <f t="shared" si="5"/>
        <v>315</v>
      </c>
      <c r="E93" s="11">
        <v>316.62</v>
      </c>
      <c r="F93" s="14">
        <f t="shared" si="6"/>
        <v>12.061714285714286</v>
      </c>
      <c r="G93" s="12">
        <f t="shared" si="7"/>
        <v>8.2906954709115022E-2</v>
      </c>
      <c r="H93" s="13"/>
      <c r="I93" s="14">
        <v>26.5</v>
      </c>
      <c r="J93" s="14">
        <v>26.5</v>
      </c>
      <c r="K93" s="14">
        <v>26.5</v>
      </c>
      <c r="L93" s="14">
        <v>26.5</v>
      </c>
      <c r="M93" s="14">
        <v>26.5</v>
      </c>
      <c r="N93" s="14">
        <v>26.5</v>
      </c>
      <c r="O93" s="14">
        <v>26.5</v>
      </c>
      <c r="P93" s="14">
        <v>26.5</v>
      </c>
      <c r="Q93" s="14">
        <v>26.5</v>
      </c>
      <c r="R93" s="14">
        <v>26.5</v>
      </c>
      <c r="S93" s="14">
        <v>25</v>
      </c>
      <c r="T93" s="14">
        <v>25</v>
      </c>
    </row>
    <row r="94" spans="1:20" ht="15.75" customHeight="1" x14ac:dyDescent="0.25">
      <c r="A94" s="16">
        <v>1999</v>
      </c>
      <c r="B94" s="9">
        <v>12</v>
      </c>
      <c r="C94" s="10">
        <f t="shared" si="4"/>
        <v>26</v>
      </c>
      <c r="D94" s="10">
        <f t="shared" si="5"/>
        <v>312</v>
      </c>
      <c r="E94" s="11">
        <v>316.62</v>
      </c>
      <c r="F94" s="14">
        <f t="shared" si="6"/>
        <v>12.177692307692308</v>
      </c>
      <c r="G94" s="12">
        <f t="shared" si="7"/>
        <v>8.2117364664266307E-2</v>
      </c>
      <c r="H94" s="13"/>
      <c r="I94" s="14">
        <v>25</v>
      </c>
      <c r="J94" s="14">
        <v>25</v>
      </c>
      <c r="K94" s="14">
        <v>26.5</v>
      </c>
      <c r="L94" s="14">
        <v>26.5</v>
      </c>
      <c r="M94" s="14">
        <v>26.5</v>
      </c>
      <c r="N94" s="14">
        <v>26.5</v>
      </c>
      <c r="O94" s="14">
        <v>26.5</v>
      </c>
      <c r="P94" s="14">
        <v>26.5</v>
      </c>
      <c r="Q94" s="14">
        <v>25</v>
      </c>
      <c r="R94" s="14">
        <v>25</v>
      </c>
      <c r="S94" s="14">
        <v>26.5</v>
      </c>
      <c r="T94" s="14">
        <v>26.5</v>
      </c>
    </row>
    <row r="95" spans="1:20" ht="15.75" customHeight="1" x14ac:dyDescent="0.25">
      <c r="A95" s="16">
        <v>2000</v>
      </c>
      <c r="B95" s="9">
        <v>12</v>
      </c>
      <c r="C95" s="10">
        <f t="shared" si="4"/>
        <v>26.5</v>
      </c>
      <c r="D95" s="10">
        <f t="shared" si="5"/>
        <v>318</v>
      </c>
      <c r="E95" s="11">
        <v>316.62</v>
      </c>
      <c r="F95" s="14">
        <f t="shared" si="6"/>
        <v>11.947924528301886</v>
      </c>
      <c r="G95" s="12">
        <f t="shared" si="7"/>
        <v>8.3696544753963736E-2</v>
      </c>
      <c r="H95" s="13"/>
      <c r="I95" s="14">
        <v>26.5</v>
      </c>
      <c r="J95" s="14">
        <v>26.5</v>
      </c>
      <c r="K95" s="14">
        <v>26.5</v>
      </c>
      <c r="L95" s="14">
        <v>26.5</v>
      </c>
      <c r="M95" s="14">
        <v>26.5</v>
      </c>
      <c r="N95" s="14">
        <v>26.5</v>
      </c>
      <c r="O95" s="14">
        <v>26.5</v>
      </c>
      <c r="P95" s="14">
        <v>26.5</v>
      </c>
      <c r="Q95" s="14">
        <v>26.5</v>
      </c>
      <c r="R95" s="14">
        <v>26.5</v>
      </c>
      <c r="S95" s="14">
        <v>26.5</v>
      </c>
      <c r="T95" s="14">
        <v>26.5</v>
      </c>
    </row>
    <row r="96" spans="1:20" ht="15.75" customHeight="1" x14ac:dyDescent="0.25">
      <c r="A96" s="16">
        <v>2001</v>
      </c>
      <c r="B96" s="9">
        <v>12</v>
      </c>
      <c r="C96" s="10">
        <f t="shared" si="4"/>
        <v>26.5</v>
      </c>
      <c r="D96" s="10">
        <f t="shared" si="5"/>
        <v>318</v>
      </c>
      <c r="E96" s="11">
        <v>316.62</v>
      </c>
      <c r="F96" s="14">
        <f t="shared" si="6"/>
        <v>11.947924528301886</v>
      </c>
      <c r="G96" s="12">
        <f t="shared" si="7"/>
        <v>8.3696544753963736E-2</v>
      </c>
      <c r="H96" s="13"/>
      <c r="I96" s="14">
        <v>26.5</v>
      </c>
      <c r="J96" s="14">
        <v>26.5</v>
      </c>
      <c r="K96" s="14">
        <v>26.5</v>
      </c>
      <c r="L96" s="14">
        <v>26.5</v>
      </c>
      <c r="M96" s="14">
        <v>26.5</v>
      </c>
      <c r="N96" s="14">
        <v>26.5</v>
      </c>
      <c r="O96" s="14">
        <v>26.5</v>
      </c>
      <c r="P96" s="14">
        <v>26.5</v>
      </c>
      <c r="Q96" s="14">
        <v>26.5</v>
      </c>
      <c r="R96" s="14">
        <v>26.5</v>
      </c>
      <c r="S96" s="14">
        <v>26.5</v>
      </c>
      <c r="T96" s="14">
        <v>26.5</v>
      </c>
    </row>
    <row r="97" spans="1:20" ht="15.75" customHeight="1" x14ac:dyDescent="0.25">
      <c r="A97" s="16">
        <v>2002</v>
      </c>
      <c r="B97" s="9">
        <v>12</v>
      </c>
      <c r="C97" s="10">
        <f t="shared" si="4"/>
        <v>26.5</v>
      </c>
      <c r="D97" s="10">
        <f t="shared" si="5"/>
        <v>318</v>
      </c>
      <c r="E97" s="11">
        <v>316.62</v>
      </c>
      <c r="F97" s="14">
        <f t="shared" si="6"/>
        <v>11.947924528301886</v>
      </c>
      <c r="G97" s="12">
        <f t="shared" si="7"/>
        <v>8.3696544753963736E-2</v>
      </c>
      <c r="H97" s="13"/>
      <c r="I97" s="14">
        <v>26.5</v>
      </c>
      <c r="J97" s="14">
        <v>26.5</v>
      </c>
      <c r="K97" s="14">
        <v>26.5</v>
      </c>
      <c r="L97" s="14">
        <v>26.5</v>
      </c>
      <c r="M97" s="14">
        <v>26.5</v>
      </c>
      <c r="N97" s="14">
        <v>26.5</v>
      </c>
      <c r="O97" s="14">
        <v>26.5</v>
      </c>
      <c r="P97" s="14">
        <v>26.5</v>
      </c>
      <c r="Q97" s="14">
        <v>26.5</v>
      </c>
      <c r="R97" s="14">
        <v>26.5</v>
      </c>
      <c r="S97" s="14">
        <v>26.5</v>
      </c>
      <c r="T97" s="14">
        <v>26.5</v>
      </c>
    </row>
    <row r="98" spans="1:20" ht="15.75" customHeight="1" x14ac:dyDescent="0.25">
      <c r="A98" s="16">
        <v>2003</v>
      </c>
      <c r="B98" s="9">
        <v>12</v>
      </c>
      <c r="C98" s="10">
        <f t="shared" si="4"/>
        <v>26.5</v>
      </c>
      <c r="D98" s="10">
        <f t="shared" si="5"/>
        <v>318</v>
      </c>
      <c r="E98" s="11">
        <v>316.62</v>
      </c>
      <c r="F98" s="14">
        <f t="shared" si="6"/>
        <v>11.947924528301886</v>
      </c>
      <c r="G98" s="12">
        <f t="shared" si="7"/>
        <v>8.3696544753963736E-2</v>
      </c>
      <c r="H98" s="13"/>
      <c r="I98" s="14">
        <v>26.5</v>
      </c>
      <c r="J98" s="14">
        <v>26.5</v>
      </c>
      <c r="K98" s="14">
        <v>26.5</v>
      </c>
      <c r="L98" s="14">
        <v>26.5</v>
      </c>
      <c r="M98" s="14">
        <v>26.5</v>
      </c>
      <c r="N98" s="14">
        <v>26.5</v>
      </c>
      <c r="O98" s="14">
        <v>26.5</v>
      </c>
      <c r="P98" s="14">
        <v>26.5</v>
      </c>
      <c r="Q98" s="14">
        <v>26.5</v>
      </c>
      <c r="R98" s="14">
        <v>26.5</v>
      </c>
      <c r="S98" s="14">
        <v>26.5</v>
      </c>
      <c r="T98" s="14">
        <v>26.5</v>
      </c>
    </row>
    <row r="99" spans="1:20" ht="15.75" customHeight="1" x14ac:dyDescent="0.25">
      <c r="A99" s="16">
        <v>2004</v>
      </c>
      <c r="B99" s="9">
        <v>12</v>
      </c>
      <c r="C99" s="10">
        <f t="shared" si="4"/>
        <v>24.666666666666668</v>
      </c>
      <c r="D99" s="10">
        <f t="shared" si="5"/>
        <v>296</v>
      </c>
      <c r="E99" s="11">
        <v>316.62</v>
      </c>
      <c r="F99" s="14">
        <f t="shared" si="6"/>
        <v>12.835945945945946</v>
      </c>
      <c r="G99" s="12">
        <f t="shared" si="7"/>
        <v>7.7906217758406504E-2</v>
      </c>
      <c r="H99" s="13"/>
      <c r="I99" s="14">
        <v>26.5</v>
      </c>
      <c r="J99" s="14">
        <v>24.5</v>
      </c>
      <c r="K99" s="14">
        <v>24.5</v>
      </c>
      <c r="L99" s="14">
        <v>24.5</v>
      </c>
      <c r="M99" s="14">
        <v>24.5</v>
      </c>
      <c r="N99" s="14">
        <v>24.5</v>
      </c>
      <c r="O99" s="14">
        <v>24.5</v>
      </c>
      <c r="P99" s="14">
        <v>24.5</v>
      </c>
      <c r="Q99" s="14">
        <v>24.5</v>
      </c>
      <c r="R99" s="14">
        <v>24.5</v>
      </c>
      <c r="S99" s="14">
        <v>24.5</v>
      </c>
      <c r="T99" s="14">
        <v>24.5</v>
      </c>
    </row>
    <row r="100" spans="1:20" ht="15.75" customHeight="1" x14ac:dyDescent="0.25">
      <c r="A100" s="16">
        <v>2005</v>
      </c>
      <c r="B100" s="9">
        <v>12</v>
      </c>
      <c r="C100" s="10">
        <f t="shared" si="4"/>
        <v>24.5</v>
      </c>
      <c r="D100" s="10">
        <f t="shared" si="5"/>
        <v>294</v>
      </c>
      <c r="E100" s="11">
        <v>316.62</v>
      </c>
      <c r="F100" s="14">
        <f t="shared" si="6"/>
        <v>12.923265306122449</v>
      </c>
      <c r="G100" s="12">
        <f t="shared" si="7"/>
        <v>7.7379824395174018E-2</v>
      </c>
      <c r="H100" s="13"/>
      <c r="I100" s="14">
        <v>24.5</v>
      </c>
      <c r="J100" s="14">
        <v>24.5</v>
      </c>
      <c r="K100" s="14">
        <v>24.5</v>
      </c>
      <c r="L100" s="14">
        <v>24.5</v>
      </c>
      <c r="M100" s="14">
        <v>24.5</v>
      </c>
      <c r="N100" s="14">
        <v>24.5</v>
      </c>
      <c r="O100" s="14">
        <v>24.5</v>
      </c>
      <c r="P100" s="14">
        <v>24.5</v>
      </c>
      <c r="Q100" s="14">
        <v>24.5</v>
      </c>
      <c r="R100" s="14">
        <v>24.5</v>
      </c>
      <c r="S100" s="14">
        <v>24.5</v>
      </c>
      <c r="T100" s="14">
        <v>24.5</v>
      </c>
    </row>
    <row r="101" spans="1:20" ht="15.75" customHeight="1" x14ac:dyDescent="0.25">
      <c r="A101" s="16">
        <v>2006</v>
      </c>
      <c r="B101" s="9">
        <v>12</v>
      </c>
      <c r="C101" s="10">
        <f t="shared" si="4"/>
        <v>20.416666666666668</v>
      </c>
      <c r="D101" s="10">
        <f t="shared" si="5"/>
        <v>245</v>
      </c>
      <c r="E101" s="11">
        <v>316.62</v>
      </c>
      <c r="F101" s="14">
        <f t="shared" si="6"/>
        <v>15.507918367346939</v>
      </c>
      <c r="G101" s="12">
        <f t="shared" si="7"/>
        <v>6.4483186995978353E-2</v>
      </c>
      <c r="H101" s="13"/>
      <c r="I101" s="14">
        <v>24.5</v>
      </c>
      <c r="J101" s="14">
        <v>24.5</v>
      </c>
      <c r="K101" s="14">
        <v>24.5</v>
      </c>
      <c r="L101" s="14">
        <v>24.5</v>
      </c>
      <c r="M101" s="14">
        <v>24.5</v>
      </c>
      <c r="N101" s="14">
        <v>24.5</v>
      </c>
      <c r="O101" s="14">
        <v>24.5</v>
      </c>
      <c r="P101" s="14">
        <v>24.5</v>
      </c>
      <c r="Q101" s="14">
        <v>24.5</v>
      </c>
      <c r="R101" s="14">
        <v>24.5</v>
      </c>
      <c r="S101" s="14">
        <v>0</v>
      </c>
      <c r="T101" s="14">
        <v>0</v>
      </c>
    </row>
    <row r="102" spans="1:20" ht="15.75" customHeight="1" x14ac:dyDescent="0.25">
      <c r="A102" s="16">
        <v>2007</v>
      </c>
      <c r="B102" s="9">
        <v>12</v>
      </c>
      <c r="C102" s="10">
        <f t="shared" si="4"/>
        <v>5.8833333333333329</v>
      </c>
      <c r="D102" s="10">
        <f t="shared" si="5"/>
        <v>70.599999999999994</v>
      </c>
      <c r="E102" s="11">
        <v>316.62</v>
      </c>
      <c r="F102" s="14">
        <f t="shared" si="6"/>
        <v>53.816430594900858</v>
      </c>
      <c r="G102" s="12">
        <f t="shared" si="7"/>
        <v>1.8581685722106413E-2</v>
      </c>
      <c r="H102" s="13"/>
      <c r="I102" s="14">
        <v>0</v>
      </c>
      <c r="J102" s="14">
        <v>0</v>
      </c>
      <c r="K102" s="14">
        <v>0</v>
      </c>
      <c r="L102" s="14">
        <v>0</v>
      </c>
      <c r="M102" s="14">
        <v>25</v>
      </c>
      <c r="N102" s="14">
        <v>33.1</v>
      </c>
      <c r="O102" s="14">
        <v>12.5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20" ht="15.75" customHeight="1" x14ac:dyDescent="0.25">
      <c r="A103" s="16">
        <v>2008</v>
      </c>
      <c r="B103" s="9">
        <v>12</v>
      </c>
      <c r="C103" s="10">
        <f t="shared" si="4"/>
        <v>16.618333333333332</v>
      </c>
      <c r="D103" s="10">
        <f t="shared" si="5"/>
        <v>199.42</v>
      </c>
      <c r="E103" s="11">
        <v>316.62</v>
      </c>
      <c r="F103" s="14">
        <f t="shared" si="6"/>
        <v>19.052452111122257</v>
      </c>
      <c r="G103" s="12">
        <f t="shared" si="7"/>
        <v>5.2486682247910213E-2</v>
      </c>
      <c r="H103" s="13"/>
      <c r="I103" s="14">
        <v>0</v>
      </c>
      <c r="J103" s="14">
        <v>0</v>
      </c>
      <c r="K103" s="14">
        <v>0</v>
      </c>
      <c r="L103" s="14">
        <v>0</v>
      </c>
      <c r="M103" s="14">
        <v>50.3</v>
      </c>
      <c r="N103" s="14">
        <v>41.5</v>
      </c>
      <c r="O103" s="14">
        <v>0</v>
      </c>
      <c r="P103" s="14">
        <v>0</v>
      </c>
      <c r="Q103" s="14">
        <v>17.3</v>
      </c>
      <c r="R103" s="14">
        <v>40</v>
      </c>
      <c r="S103" s="14">
        <v>40</v>
      </c>
      <c r="T103" s="14">
        <v>10.32</v>
      </c>
    </row>
    <row r="104" spans="1:20" ht="15.75" customHeight="1" x14ac:dyDescent="0.25">
      <c r="A104" s="16">
        <v>2009</v>
      </c>
      <c r="B104" s="9">
        <v>12</v>
      </c>
      <c r="C104" s="10">
        <f t="shared" si="4"/>
        <v>2.1583333333333332</v>
      </c>
      <c r="D104" s="10">
        <f t="shared" si="5"/>
        <v>25.9</v>
      </c>
      <c r="E104" s="11">
        <v>316.62</v>
      </c>
      <c r="F104" s="14">
        <f t="shared" si="6"/>
        <v>146.69652509652511</v>
      </c>
      <c r="G104" s="12">
        <f t="shared" si="7"/>
        <v>6.8167940538605681E-3</v>
      </c>
      <c r="H104" s="13"/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25.9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</row>
    <row r="105" spans="1:20" ht="15.75" customHeight="1" x14ac:dyDescent="0.25">
      <c r="A105" s="16">
        <v>2010</v>
      </c>
      <c r="B105" s="9">
        <v>12</v>
      </c>
      <c r="C105" s="10">
        <f t="shared" si="4"/>
        <v>9.7000000000000011</v>
      </c>
      <c r="D105" s="10">
        <f t="shared" si="5"/>
        <v>116.4</v>
      </c>
      <c r="E105" s="11">
        <v>316.62</v>
      </c>
      <c r="F105" s="14">
        <f t="shared" si="6"/>
        <v>32.641237113402056</v>
      </c>
      <c r="G105" s="12">
        <f t="shared" si="7"/>
        <v>3.0636093740130127E-2</v>
      </c>
      <c r="H105" s="13"/>
      <c r="I105" s="14">
        <v>0</v>
      </c>
      <c r="J105" s="14">
        <v>0</v>
      </c>
      <c r="K105" s="14">
        <v>0</v>
      </c>
      <c r="L105" s="14">
        <v>44.7</v>
      </c>
      <c r="M105" s="14">
        <v>56</v>
      </c>
      <c r="N105" s="14">
        <v>15.7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</row>
    <row r="106" spans="1:20" ht="15.75" customHeight="1" x14ac:dyDescent="0.25">
      <c r="A106" s="16">
        <v>2011</v>
      </c>
      <c r="B106" s="9">
        <v>12</v>
      </c>
      <c r="C106" s="10">
        <f t="shared" ref="C106:C115" si="8">D106/B106</f>
        <v>3.9583333333333335</v>
      </c>
      <c r="D106" s="10">
        <f t="shared" ref="D106:D115" si="9">SUM(I106:T106)</f>
        <v>47.5</v>
      </c>
      <c r="E106" s="11">
        <v>316.62</v>
      </c>
      <c r="F106" s="14">
        <f t="shared" ref="F106:F115" si="10">E106/C106</f>
        <v>79.988210526315783</v>
      </c>
      <c r="G106" s="12">
        <f t="shared" ref="G106:G115" si="11">C106/E106</f>
        <v>1.2501842376771315E-2</v>
      </c>
      <c r="H106" s="13"/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1.3</v>
      </c>
      <c r="P106" s="14">
        <v>20.7</v>
      </c>
      <c r="Q106" s="14">
        <v>25.5</v>
      </c>
      <c r="R106" s="14">
        <v>0</v>
      </c>
      <c r="S106" s="14">
        <v>0</v>
      </c>
      <c r="T106" s="14">
        <v>0</v>
      </c>
    </row>
    <row r="107" spans="1:20" ht="15.75" customHeight="1" x14ac:dyDescent="0.25">
      <c r="A107" s="16">
        <v>2012</v>
      </c>
      <c r="B107" s="9">
        <v>12</v>
      </c>
      <c r="C107" s="10">
        <f t="shared" si="8"/>
        <v>11.733333333333334</v>
      </c>
      <c r="D107" s="10">
        <f t="shared" si="9"/>
        <v>140.80000000000001</v>
      </c>
      <c r="E107" s="11">
        <v>316.62</v>
      </c>
      <c r="F107" s="14">
        <f t="shared" si="10"/>
        <v>26.984659090909091</v>
      </c>
      <c r="G107" s="12">
        <f t="shared" si="11"/>
        <v>3.7058092771566339E-2</v>
      </c>
      <c r="H107" s="13"/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32.700000000000003</v>
      </c>
      <c r="R107" s="14">
        <v>70</v>
      </c>
      <c r="S107" s="14">
        <v>37.299999999999997</v>
      </c>
      <c r="T107" s="14">
        <v>0.8</v>
      </c>
    </row>
    <row r="108" spans="1:20" ht="15.75" customHeight="1" x14ac:dyDescent="0.25">
      <c r="A108" s="16">
        <v>2013</v>
      </c>
      <c r="B108" s="9">
        <v>12</v>
      </c>
      <c r="C108" s="10">
        <f t="shared" si="8"/>
        <v>11.858333333333334</v>
      </c>
      <c r="D108" s="10">
        <f t="shared" si="9"/>
        <v>142.30000000000001</v>
      </c>
      <c r="E108" s="11">
        <v>316.62</v>
      </c>
      <c r="F108" s="14">
        <f t="shared" si="10"/>
        <v>26.700210822206603</v>
      </c>
      <c r="G108" s="12">
        <f t="shared" si="11"/>
        <v>3.7452887793990697E-2</v>
      </c>
      <c r="H108" s="13"/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70</v>
      </c>
      <c r="S108" s="14">
        <v>70</v>
      </c>
      <c r="T108" s="14">
        <v>2.2999999999999998</v>
      </c>
    </row>
    <row r="109" spans="1:20" ht="15.75" customHeight="1" x14ac:dyDescent="0.25">
      <c r="A109" s="16">
        <v>2014</v>
      </c>
      <c r="B109" s="9">
        <v>12</v>
      </c>
      <c r="C109" s="10">
        <f t="shared" si="8"/>
        <v>9.8250000000000011</v>
      </c>
      <c r="D109" s="10">
        <f t="shared" si="9"/>
        <v>117.9</v>
      </c>
      <c r="E109" s="11">
        <v>316.62</v>
      </c>
      <c r="F109" s="14">
        <f t="shared" si="10"/>
        <v>32.225954198473282</v>
      </c>
      <c r="G109" s="12">
        <f t="shared" si="11"/>
        <v>3.1030888762554484E-2</v>
      </c>
      <c r="H109" s="13"/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32.9</v>
      </c>
      <c r="S109" s="14">
        <v>85</v>
      </c>
      <c r="T109" s="14">
        <v>0</v>
      </c>
    </row>
    <row r="110" spans="1:20" ht="15.75" customHeight="1" x14ac:dyDescent="0.25">
      <c r="A110" s="16">
        <v>2015</v>
      </c>
      <c r="B110" s="9">
        <v>12</v>
      </c>
      <c r="C110" s="10">
        <f t="shared" si="8"/>
        <v>7.6499999999999995</v>
      </c>
      <c r="D110" s="10">
        <f t="shared" si="9"/>
        <v>91.8</v>
      </c>
      <c r="E110" s="11">
        <v>316.62</v>
      </c>
      <c r="F110" s="14">
        <f t="shared" si="10"/>
        <v>41.388235294117649</v>
      </c>
      <c r="G110" s="12">
        <f t="shared" si="11"/>
        <v>2.4161455372370664E-2</v>
      </c>
      <c r="H110" s="13"/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2.7</v>
      </c>
      <c r="R110" s="14">
        <v>81</v>
      </c>
      <c r="S110" s="14">
        <v>8.1</v>
      </c>
      <c r="T110" s="14">
        <v>0</v>
      </c>
    </row>
    <row r="111" spans="1:20" ht="15.75" customHeight="1" x14ac:dyDescent="0.25">
      <c r="A111" s="16">
        <v>2016</v>
      </c>
      <c r="B111" s="9">
        <v>12</v>
      </c>
      <c r="C111" s="10">
        <f t="shared" si="8"/>
        <v>7.9866666666666655</v>
      </c>
      <c r="D111" s="10">
        <f t="shared" si="9"/>
        <v>95.839999999999989</v>
      </c>
      <c r="E111" s="11">
        <v>316.62</v>
      </c>
      <c r="F111" s="14">
        <f t="shared" si="10"/>
        <v>39.643572621035062</v>
      </c>
      <c r="G111" s="12">
        <f t="shared" si="11"/>
        <v>2.5224769966100263E-2</v>
      </c>
      <c r="H111" s="13"/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76.709999999999994</v>
      </c>
      <c r="S111" s="14">
        <v>19.13</v>
      </c>
      <c r="T111" s="14">
        <v>0</v>
      </c>
    </row>
    <row r="112" spans="1:20" ht="15.75" customHeight="1" x14ac:dyDescent="0.25">
      <c r="A112" s="16">
        <v>2017</v>
      </c>
      <c r="B112" s="9">
        <v>12</v>
      </c>
      <c r="C112" s="10">
        <f t="shared" si="8"/>
        <v>3.6666666666666665</v>
      </c>
      <c r="D112" s="10">
        <f t="shared" si="9"/>
        <v>44</v>
      </c>
      <c r="E112" s="11">
        <v>316.62</v>
      </c>
      <c r="F112" s="14">
        <f t="shared" si="10"/>
        <v>86.350909090909099</v>
      </c>
      <c r="G112" s="12">
        <f t="shared" si="11"/>
        <v>1.158065399111448E-2</v>
      </c>
      <c r="H112" s="13"/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44</v>
      </c>
      <c r="S112" s="14">
        <v>0</v>
      </c>
      <c r="T112" s="14">
        <v>0</v>
      </c>
    </row>
    <row r="113" spans="1:20" ht="15.75" customHeight="1" x14ac:dyDescent="0.25">
      <c r="A113" s="16">
        <v>2018</v>
      </c>
      <c r="B113" s="9">
        <v>12</v>
      </c>
      <c r="C113" s="10">
        <f t="shared" si="8"/>
        <v>9.15</v>
      </c>
      <c r="D113" s="10">
        <f t="shared" si="9"/>
        <v>109.8</v>
      </c>
      <c r="E113" s="11">
        <v>316.62</v>
      </c>
      <c r="F113" s="14">
        <f t="shared" si="10"/>
        <v>34.60327868852459</v>
      </c>
      <c r="G113" s="12">
        <f t="shared" si="11"/>
        <v>2.8898995641462952E-2</v>
      </c>
      <c r="H113" s="13"/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7.8</v>
      </c>
      <c r="R113" s="14">
        <v>85</v>
      </c>
      <c r="S113" s="14">
        <v>17</v>
      </c>
      <c r="T113" s="14">
        <v>0</v>
      </c>
    </row>
    <row r="114" spans="1:20" ht="15.75" customHeight="1" x14ac:dyDescent="0.25">
      <c r="A114" s="16">
        <v>2019</v>
      </c>
      <c r="B114" s="9">
        <v>12</v>
      </c>
      <c r="C114" s="10">
        <f t="shared" si="8"/>
        <v>8.4749999999999996</v>
      </c>
      <c r="D114" s="10">
        <f t="shared" si="9"/>
        <v>101.7</v>
      </c>
      <c r="E114" s="11">
        <v>316.62</v>
      </c>
      <c r="F114" s="14">
        <f t="shared" si="10"/>
        <v>37.359292035398234</v>
      </c>
      <c r="G114" s="12">
        <f t="shared" si="11"/>
        <v>2.6767102520371421E-2</v>
      </c>
      <c r="H114" s="13"/>
      <c r="I114" s="14">
        <v>0</v>
      </c>
      <c r="J114" s="14">
        <v>0</v>
      </c>
      <c r="K114" s="14">
        <v>5.3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26.7</v>
      </c>
      <c r="T114" s="14">
        <v>69.7</v>
      </c>
    </row>
    <row r="115" spans="1:20" ht="15.75" customHeight="1" x14ac:dyDescent="0.25">
      <c r="A115" s="16">
        <v>2020</v>
      </c>
      <c r="B115" s="9">
        <v>12</v>
      </c>
      <c r="C115" s="10">
        <f t="shared" si="8"/>
        <v>7.3275000000000006</v>
      </c>
      <c r="D115" s="10">
        <f t="shared" si="9"/>
        <v>87.93</v>
      </c>
      <c r="E115" s="11">
        <v>316.62</v>
      </c>
      <c r="F115" s="14">
        <f t="shared" si="10"/>
        <v>43.209825997952912</v>
      </c>
      <c r="G115" s="12">
        <f t="shared" si="11"/>
        <v>2.3142884214515824E-2</v>
      </c>
      <c r="H115" s="13"/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9.93</v>
      </c>
      <c r="S115" s="14">
        <v>38.5</v>
      </c>
      <c r="T115" s="14">
        <v>39.5</v>
      </c>
    </row>
    <row r="116" spans="1:20" ht="15.75" customHeight="1" x14ac:dyDescent="0.25">
      <c r="A116" s="16">
        <v>2021</v>
      </c>
      <c r="B116" s="9">
        <v>12</v>
      </c>
      <c r="C116" s="10">
        <f t="shared" ref="C116" si="12">D116/B116</f>
        <v>10.808333333333332</v>
      </c>
      <c r="D116" s="10">
        <f t="shared" ref="D116" si="13">SUM(I116:T116)</f>
        <v>129.69999999999999</v>
      </c>
      <c r="E116" s="11">
        <v>316.62</v>
      </c>
      <c r="F116" s="14">
        <f>E116/C116</f>
        <v>29.294063222821901</v>
      </c>
      <c r="G116" s="12">
        <f t="shared" ref="G116" si="14">C116/E116</f>
        <v>3.4136609605626089E-2</v>
      </c>
      <c r="I116" s="17">
        <v>13.2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40.5</v>
      </c>
      <c r="T116" s="17">
        <v>76</v>
      </c>
    </row>
    <row r="117" spans="1:20" ht="15.75" customHeight="1" x14ac:dyDescent="0.25">
      <c r="A117" s="16">
        <v>2022</v>
      </c>
      <c r="B117" s="9">
        <v>12</v>
      </c>
      <c r="C117" s="10">
        <f t="shared" ref="C117" si="15">D117/B117</f>
        <v>15.950000000000001</v>
      </c>
      <c r="D117" s="10">
        <f t="shared" ref="D117" si="16">SUM(I117:T117)</f>
        <v>191.4</v>
      </c>
      <c r="E117" s="11">
        <v>316.62</v>
      </c>
      <c r="F117" s="14">
        <f>E117/C117</f>
        <v>19.850783699059559</v>
      </c>
      <c r="G117" s="12">
        <f t="shared" ref="G117" si="17">C117/E117</f>
        <v>5.0375844861347989E-2</v>
      </c>
      <c r="I117" s="17">
        <v>5.9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23.8</v>
      </c>
      <c r="S117" s="17">
        <v>82</v>
      </c>
      <c r="T117" s="17">
        <v>79.7</v>
      </c>
    </row>
    <row r="118" spans="1:20" ht="15.75" customHeight="1" x14ac:dyDescent="0.25">
      <c r="A118" s="16">
        <v>2023</v>
      </c>
      <c r="B118" s="9">
        <v>12</v>
      </c>
      <c r="C118" s="10">
        <f t="shared" ref="C118" si="18">D118/B118</f>
        <v>11.316666666666668</v>
      </c>
      <c r="D118" s="10">
        <f t="shared" ref="D118" si="19">SUM(I118:T118)</f>
        <v>135.80000000000001</v>
      </c>
      <c r="E118" s="11">
        <v>316.62</v>
      </c>
      <c r="F118" s="14">
        <f>E118/C118</f>
        <v>27.978203240058907</v>
      </c>
      <c r="G118" s="12">
        <f t="shared" ref="G118" si="20">C118/E118</f>
        <v>3.5742109363485153E-2</v>
      </c>
      <c r="I118" s="17">
        <v>7.3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46.5</v>
      </c>
      <c r="T118" s="17">
        <v>82</v>
      </c>
    </row>
    <row r="119" spans="1:20" ht="15.75" customHeight="1" x14ac:dyDescent="0.25">
      <c r="A119" s="16">
        <v>2024</v>
      </c>
      <c r="B119" s="9">
        <v>12</v>
      </c>
      <c r="C119" s="10">
        <f t="shared" ref="C119" si="21">D119/B119</f>
        <v>15.333333333333334</v>
      </c>
      <c r="D119" s="10">
        <f t="shared" ref="D119" si="22">SUM(I119:T119)</f>
        <v>184</v>
      </c>
      <c r="E119" s="11">
        <v>316.62</v>
      </c>
      <c r="F119" s="14">
        <f>E119/C119</f>
        <v>20.649130434782609</v>
      </c>
      <c r="G119" s="12">
        <f>C119/E119</f>
        <v>4.8428189417387829E-2</v>
      </c>
      <c r="I119" s="17">
        <v>82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12</v>
      </c>
      <c r="T119" s="17">
        <v>90</v>
      </c>
    </row>
    <row r="120" spans="1:20" ht="15.75" customHeight="1" x14ac:dyDescent="0.25">
      <c r="A120" s="16">
        <v>2025</v>
      </c>
      <c r="B120" s="9">
        <v>12</v>
      </c>
      <c r="C120" s="10">
        <f t="shared" ref="C120" si="23">D120/B120</f>
        <v>10.325000000000001</v>
      </c>
      <c r="D120" s="10">
        <f t="shared" ref="D120" si="24">SUM(I120:T120)</f>
        <v>123.9</v>
      </c>
      <c r="E120" s="11">
        <v>316.62</v>
      </c>
      <c r="F120" s="14">
        <f>E120/C120</f>
        <v>30.665375302663435</v>
      </c>
      <c r="G120" s="12">
        <f>C120/E120</f>
        <v>3.2610068852251914E-2</v>
      </c>
      <c r="I120" s="17">
        <v>8.6999999999999993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19.2</v>
      </c>
      <c r="T120" s="17">
        <v>96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103"/>
  <sheetViews>
    <sheetView zoomScale="80" zoomScaleNormal="80" workbookViewId="0">
      <pane ySplit="1440" topLeftCell="A67" activePane="bottomLeft"/>
      <selection sqref="A1:XFD1048576"/>
      <selection pane="bottomLeft" activeCell="A103" sqref="A103:XFD103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6640625" style="55" bestFit="1" customWidth="1"/>
    <col min="5" max="5" width="10.33203125" style="56" customWidth="1"/>
    <col min="6" max="6" width="9.554687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109375" style="56" customWidth="1"/>
    <col min="20" max="20" width="11.44140625" style="56" customWidth="1"/>
    <col min="21" max="16384" width="9.109375" style="40"/>
  </cols>
  <sheetData>
    <row r="1" spans="1:22" ht="15" x14ac:dyDescent="0.25">
      <c r="A1" s="120" t="s">
        <v>39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106.84166666666665</v>
      </c>
      <c r="D14" s="51">
        <f t="shared" si="1"/>
        <v>1282.0999999999999</v>
      </c>
      <c r="E14" s="49">
        <v>3265.21</v>
      </c>
      <c r="F14" s="49">
        <f t="shared" si="2"/>
        <v>30.561204274237582</v>
      </c>
      <c r="G14" s="52">
        <f t="shared" si="3"/>
        <v>3.2721223647687793E-2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82.6</v>
      </c>
      <c r="V14" s="48"/>
    </row>
    <row r="15" spans="1:22" s="53" customFormat="1" ht="15.75" customHeight="1" x14ac:dyDescent="0.25">
      <c r="A15" s="50">
        <v>1937</v>
      </c>
      <c r="B15" s="50">
        <v>12</v>
      </c>
      <c r="C15" s="51">
        <f t="shared" si="0"/>
        <v>77.766666666666666</v>
      </c>
      <c r="D15" s="51">
        <f t="shared" si="1"/>
        <v>933.19999999999993</v>
      </c>
      <c r="E15" s="49">
        <v>1166.55</v>
      </c>
      <c r="F15" s="49">
        <f t="shared" si="2"/>
        <v>15.000642948992713</v>
      </c>
      <c r="G15" s="52">
        <f t="shared" si="3"/>
        <v>6.6663809238066668E-2</v>
      </c>
      <c r="I15" s="49">
        <v>95</v>
      </c>
      <c r="J15" s="49">
        <v>95</v>
      </c>
      <c r="K15" s="49">
        <v>85.9</v>
      </c>
      <c r="L15" s="49">
        <v>60</v>
      </c>
      <c r="M15" s="49">
        <v>59</v>
      </c>
      <c r="N15" s="49">
        <v>59</v>
      </c>
      <c r="O15" s="49">
        <v>69.3</v>
      </c>
      <c r="P15" s="49">
        <v>82</v>
      </c>
      <c r="Q15" s="49">
        <v>82</v>
      </c>
      <c r="R15" s="49">
        <v>82</v>
      </c>
      <c r="S15" s="49">
        <v>82</v>
      </c>
      <c r="T15" s="49">
        <v>82</v>
      </c>
      <c r="V15" s="48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70.725000000000009</v>
      </c>
      <c r="D16" s="51">
        <f t="shared" si="1"/>
        <v>848.7</v>
      </c>
      <c r="E16" s="49">
        <v>1166.55</v>
      </c>
      <c r="F16" s="49">
        <f t="shared" si="2"/>
        <v>16.494167550371152</v>
      </c>
      <c r="G16" s="52">
        <f t="shared" si="3"/>
        <v>6.0627491320560639E-2</v>
      </c>
      <c r="I16" s="49">
        <v>82</v>
      </c>
      <c r="J16" s="49">
        <v>82</v>
      </c>
      <c r="K16" s="49">
        <v>73</v>
      </c>
      <c r="L16" s="49">
        <v>67.900000000000006</v>
      </c>
      <c r="M16" s="49">
        <v>78.5</v>
      </c>
      <c r="N16" s="49">
        <v>52.6</v>
      </c>
      <c r="O16" s="49">
        <v>62</v>
      </c>
      <c r="P16" s="49">
        <v>71</v>
      </c>
      <c r="Q16" s="49">
        <v>71</v>
      </c>
      <c r="R16" s="49">
        <v>69.5</v>
      </c>
      <c r="S16" s="49">
        <v>65.7</v>
      </c>
      <c r="T16" s="49">
        <v>73.5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71.225000000000009</v>
      </c>
      <c r="D17" s="51">
        <f t="shared" si="1"/>
        <v>854.7</v>
      </c>
      <c r="E17" s="49">
        <v>1166.55</v>
      </c>
      <c r="F17" s="49">
        <f t="shared" si="2"/>
        <v>16.378378378378375</v>
      </c>
      <c r="G17" s="52">
        <f t="shared" si="3"/>
        <v>6.1056105610561066E-2</v>
      </c>
      <c r="I17" s="49">
        <v>77.599999999999994</v>
      </c>
      <c r="J17" s="49">
        <v>82</v>
      </c>
      <c r="K17" s="49">
        <v>83.6</v>
      </c>
      <c r="L17" s="49">
        <v>85</v>
      </c>
      <c r="M17" s="49">
        <v>85</v>
      </c>
      <c r="N17" s="49">
        <v>72.8</v>
      </c>
      <c r="O17" s="49">
        <v>59.1</v>
      </c>
      <c r="P17" s="49">
        <v>74</v>
      </c>
      <c r="Q17" s="49">
        <v>74</v>
      </c>
      <c r="R17" s="49">
        <v>71</v>
      </c>
      <c r="S17" s="49">
        <v>39.6</v>
      </c>
      <c r="T17" s="49">
        <v>51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30.433333333333334</v>
      </c>
      <c r="D18" s="51">
        <f t="shared" si="1"/>
        <v>365.2</v>
      </c>
      <c r="E18" s="49">
        <v>1166.55</v>
      </c>
      <c r="F18" s="49">
        <f t="shared" si="2"/>
        <v>38.331325301204821</v>
      </c>
      <c r="G18" s="52">
        <f t="shared" si="3"/>
        <v>2.6088323118026089E-2</v>
      </c>
      <c r="I18" s="49">
        <v>4.9000000000000004</v>
      </c>
      <c r="J18" s="49">
        <v>6.2</v>
      </c>
      <c r="K18" s="49">
        <v>20.100000000000001</v>
      </c>
      <c r="L18" s="49">
        <v>21</v>
      </c>
      <c r="M18" s="49">
        <v>21.7</v>
      </c>
      <c r="N18" s="49">
        <v>46.5</v>
      </c>
      <c r="O18" s="49">
        <v>45.4</v>
      </c>
      <c r="P18" s="49">
        <v>45</v>
      </c>
      <c r="Q18" s="49">
        <v>45</v>
      </c>
      <c r="R18" s="49">
        <v>30.2</v>
      </c>
      <c r="S18" s="49">
        <v>21.2</v>
      </c>
      <c r="T18" s="49">
        <v>58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31.658333333333331</v>
      </c>
      <c r="D19" s="51">
        <f t="shared" si="1"/>
        <v>379.9</v>
      </c>
      <c r="E19" s="49">
        <v>1166.55</v>
      </c>
      <c r="F19" s="49">
        <f t="shared" si="2"/>
        <v>36.848117925769941</v>
      </c>
      <c r="G19" s="52">
        <f t="shared" si="3"/>
        <v>2.7138428128527139E-2</v>
      </c>
      <c r="I19" s="49">
        <v>58</v>
      </c>
      <c r="J19" s="49">
        <v>58</v>
      </c>
      <c r="K19" s="49">
        <v>1</v>
      </c>
      <c r="L19" s="49">
        <v>0</v>
      </c>
      <c r="M19" s="49">
        <v>26.3</v>
      </c>
      <c r="N19" s="49">
        <v>43</v>
      </c>
      <c r="O19" s="49">
        <v>43</v>
      </c>
      <c r="P19" s="49">
        <v>43</v>
      </c>
      <c r="Q19" s="49">
        <v>42.4</v>
      </c>
      <c r="R19" s="49">
        <v>30.9</v>
      </c>
      <c r="S19" s="49">
        <v>0</v>
      </c>
      <c r="T19" s="49">
        <v>34.299999999999997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41.533333333333331</v>
      </c>
      <c r="D20" s="51">
        <f t="shared" si="1"/>
        <v>498.4</v>
      </c>
      <c r="E20" s="49">
        <v>1166.55</v>
      </c>
      <c r="F20" s="49">
        <f t="shared" si="2"/>
        <v>28.087078651685392</v>
      </c>
      <c r="G20" s="52">
        <f t="shared" si="3"/>
        <v>3.5603560356035603E-2</v>
      </c>
      <c r="I20" s="49">
        <v>41</v>
      </c>
      <c r="J20" s="49">
        <v>41</v>
      </c>
      <c r="K20" s="49">
        <v>41.9</v>
      </c>
      <c r="L20" s="49">
        <v>43</v>
      </c>
      <c r="M20" s="49">
        <v>42.3</v>
      </c>
      <c r="N20" s="49">
        <v>41.8</v>
      </c>
      <c r="O20" s="49">
        <v>41.5</v>
      </c>
      <c r="P20" s="49">
        <v>42.5</v>
      </c>
      <c r="Q20" s="49">
        <v>43</v>
      </c>
      <c r="R20" s="49">
        <v>42.4</v>
      </c>
      <c r="S20" s="49">
        <v>34.1</v>
      </c>
      <c r="T20" s="49">
        <v>43.9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35.833333333333336</v>
      </c>
      <c r="D21" s="51">
        <f t="shared" si="1"/>
        <v>430.00000000000006</v>
      </c>
      <c r="E21" s="49">
        <v>1166.55</v>
      </c>
      <c r="F21" s="49">
        <f t="shared" si="2"/>
        <v>32.554883720930228</v>
      </c>
      <c r="G21" s="52">
        <f t="shared" si="3"/>
        <v>3.0717357450030722E-2</v>
      </c>
      <c r="I21" s="49">
        <v>37</v>
      </c>
      <c r="J21" s="49">
        <v>37</v>
      </c>
      <c r="K21" s="49">
        <v>37.799999999999997</v>
      </c>
      <c r="L21" s="49">
        <v>36.200000000000003</v>
      </c>
      <c r="M21" s="49">
        <v>36</v>
      </c>
      <c r="N21" s="49">
        <v>36</v>
      </c>
      <c r="O21" s="49">
        <v>36</v>
      </c>
      <c r="P21" s="49">
        <v>36</v>
      </c>
      <c r="Q21" s="49">
        <v>42.3</v>
      </c>
      <c r="R21" s="49">
        <v>37.1</v>
      </c>
      <c r="S21" s="49">
        <v>28.6</v>
      </c>
      <c r="T21" s="49">
        <v>30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30.625</v>
      </c>
      <c r="D22" s="51">
        <f t="shared" si="1"/>
        <v>367.5</v>
      </c>
      <c r="E22" s="49">
        <v>1166.55</v>
      </c>
      <c r="F22" s="49">
        <f t="shared" si="2"/>
        <v>38.091428571428573</v>
      </c>
      <c r="G22" s="52">
        <f t="shared" si="3"/>
        <v>2.6252625262526252E-2</v>
      </c>
      <c r="I22" s="49">
        <v>30</v>
      </c>
      <c r="J22" s="49">
        <v>30</v>
      </c>
      <c r="K22" s="49">
        <v>31.6</v>
      </c>
      <c r="L22" s="49">
        <v>32</v>
      </c>
      <c r="M22" s="49">
        <v>32</v>
      </c>
      <c r="N22" s="49">
        <v>32</v>
      </c>
      <c r="O22" s="49">
        <v>32</v>
      </c>
      <c r="P22" s="49">
        <v>32</v>
      </c>
      <c r="Q22" s="49">
        <v>31.4</v>
      </c>
      <c r="R22" s="49">
        <v>31</v>
      </c>
      <c r="S22" s="49">
        <v>23.5</v>
      </c>
      <c r="T22" s="49">
        <v>30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30.950000000000003</v>
      </c>
      <c r="D23" s="51">
        <f t="shared" si="1"/>
        <v>371.40000000000003</v>
      </c>
      <c r="E23" s="49">
        <v>1166.55</v>
      </c>
      <c r="F23" s="49">
        <f t="shared" si="2"/>
        <v>37.691437802907913</v>
      </c>
      <c r="G23" s="52">
        <f t="shared" si="3"/>
        <v>2.6531224551026536E-2</v>
      </c>
      <c r="I23" s="49">
        <v>30</v>
      </c>
      <c r="J23" s="49">
        <v>30</v>
      </c>
      <c r="K23" s="49">
        <v>31.5</v>
      </c>
      <c r="L23" s="49">
        <v>32</v>
      </c>
      <c r="M23" s="49">
        <v>32</v>
      </c>
      <c r="N23" s="49">
        <v>31.1</v>
      </c>
      <c r="O23" s="49">
        <v>31</v>
      </c>
      <c r="P23" s="49">
        <v>31</v>
      </c>
      <c r="Q23" s="49">
        <v>31</v>
      </c>
      <c r="R23" s="49">
        <v>26.5</v>
      </c>
      <c r="S23" s="49">
        <v>30.3</v>
      </c>
      <c r="T23" s="49">
        <v>35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34.041666666666671</v>
      </c>
      <c r="D24" s="51">
        <f t="shared" si="1"/>
        <v>408.50000000000006</v>
      </c>
      <c r="E24" s="49">
        <v>1166.55</v>
      </c>
      <c r="F24" s="49">
        <f t="shared" si="2"/>
        <v>34.268298653610763</v>
      </c>
      <c r="G24" s="52">
        <f t="shared" si="3"/>
        <v>2.9181489577529186E-2</v>
      </c>
      <c r="I24" s="49">
        <v>35</v>
      </c>
      <c r="J24" s="49">
        <v>35</v>
      </c>
      <c r="K24" s="49">
        <v>37</v>
      </c>
      <c r="L24" s="49">
        <v>36.6</v>
      </c>
      <c r="M24" s="49">
        <v>36</v>
      </c>
      <c r="N24" s="49">
        <v>36</v>
      </c>
      <c r="O24" s="49">
        <v>36</v>
      </c>
      <c r="P24" s="49">
        <v>36</v>
      </c>
      <c r="Q24" s="49">
        <v>37.1</v>
      </c>
      <c r="R24" s="49">
        <v>20.3</v>
      </c>
      <c r="S24" s="49">
        <v>23.5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39.799999999999997</v>
      </c>
      <c r="D25" s="51">
        <f t="shared" si="1"/>
        <v>477.59999999999997</v>
      </c>
      <c r="E25" s="49">
        <v>1166.55</v>
      </c>
      <c r="F25" s="49">
        <f t="shared" si="2"/>
        <v>29.310301507537691</v>
      </c>
      <c r="G25" s="52">
        <f t="shared" si="3"/>
        <v>3.4117697484034114E-2</v>
      </c>
      <c r="I25" s="49">
        <v>40</v>
      </c>
      <c r="J25" s="49">
        <v>40</v>
      </c>
      <c r="K25" s="49">
        <v>41.2</v>
      </c>
      <c r="L25" s="49">
        <v>42</v>
      </c>
      <c r="M25" s="49">
        <v>42</v>
      </c>
      <c r="N25" s="49">
        <v>42</v>
      </c>
      <c r="O25" s="49">
        <v>42</v>
      </c>
      <c r="P25" s="49">
        <v>42</v>
      </c>
      <c r="Q25" s="49">
        <v>42</v>
      </c>
      <c r="R25" s="49">
        <v>36.700000000000003</v>
      </c>
      <c r="S25" s="49">
        <v>23.4</v>
      </c>
      <c r="T25" s="49">
        <v>44.3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45.199999999999996</v>
      </c>
      <c r="D26" s="51">
        <f t="shared" si="1"/>
        <v>542.4</v>
      </c>
      <c r="E26" s="49">
        <v>1166.55</v>
      </c>
      <c r="F26" s="49">
        <f t="shared" si="2"/>
        <v>25.808628318584073</v>
      </c>
      <c r="G26" s="52">
        <f t="shared" si="3"/>
        <v>3.8746731816038743E-2</v>
      </c>
      <c r="I26" s="49">
        <v>44</v>
      </c>
      <c r="J26" s="49">
        <v>44</v>
      </c>
      <c r="K26" s="49">
        <v>46.7</v>
      </c>
      <c r="L26" s="49">
        <v>48</v>
      </c>
      <c r="M26" s="49">
        <v>48.3</v>
      </c>
      <c r="N26" s="49">
        <v>48</v>
      </c>
      <c r="O26" s="49">
        <v>48</v>
      </c>
      <c r="P26" s="49">
        <v>48</v>
      </c>
      <c r="Q26" s="49">
        <v>49.3</v>
      </c>
      <c r="R26" s="49">
        <v>41.4</v>
      </c>
      <c r="S26" s="49">
        <v>34.9</v>
      </c>
      <c r="T26" s="49">
        <v>41.8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31.108333333333334</v>
      </c>
      <c r="D27" s="51">
        <f t="shared" si="1"/>
        <v>373.3</v>
      </c>
      <c r="E27" s="49">
        <v>1166.55</v>
      </c>
      <c r="F27" s="49">
        <f t="shared" si="2"/>
        <v>37.499598178408782</v>
      </c>
      <c r="G27" s="52">
        <f t="shared" si="3"/>
        <v>2.666695240952667E-2</v>
      </c>
      <c r="I27" s="49">
        <v>42</v>
      </c>
      <c r="J27" s="49">
        <v>42</v>
      </c>
      <c r="K27" s="49">
        <v>44.3</v>
      </c>
      <c r="L27" s="49">
        <v>43.5</v>
      </c>
      <c r="M27" s="49">
        <v>43</v>
      </c>
      <c r="N27" s="49">
        <v>43</v>
      </c>
      <c r="O27" s="49">
        <v>42.2</v>
      </c>
      <c r="P27" s="49">
        <v>42</v>
      </c>
      <c r="Q27" s="49">
        <v>12.6</v>
      </c>
      <c r="R27" s="49">
        <v>0</v>
      </c>
      <c r="S27" s="49">
        <v>18.7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15.700000000000001</v>
      </c>
      <c r="D28" s="51">
        <f t="shared" si="1"/>
        <v>188.4</v>
      </c>
      <c r="E28" s="49">
        <v>1166.55</v>
      </c>
      <c r="F28" s="49">
        <f t="shared" si="2"/>
        <v>74.302547770700627</v>
      </c>
      <c r="G28" s="52">
        <f t="shared" si="3"/>
        <v>1.3458488706013461E-2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31.3</v>
      </c>
      <c r="S28" s="49">
        <v>108</v>
      </c>
      <c r="T28" s="49">
        <v>49.1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36.799999999999997</v>
      </c>
      <c r="D29" s="51">
        <f t="shared" si="1"/>
        <v>441.59999999999997</v>
      </c>
      <c r="E29" s="49">
        <v>1166.55</v>
      </c>
      <c r="F29" s="49">
        <f t="shared" si="2"/>
        <v>31.699728260869566</v>
      </c>
      <c r="G29" s="52">
        <f t="shared" si="3"/>
        <v>3.1546011744031544E-2</v>
      </c>
      <c r="I29" s="49">
        <v>35</v>
      </c>
      <c r="J29" s="49">
        <v>35</v>
      </c>
      <c r="K29" s="49">
        <v>6.4</v>
      </c>
      <c r="L29" s="49">
        <v>34.1</v>
      </c>
      <c r="M29" s="49">
        <v>55.9</v>
      </c>
      <c r="N29" s="49">
        <v>35.9</v>
      </c>
      <c r="O29" s="49">
        <v>37.1</v>
      </c>
      <c r="P29" s="49">
        <v>38</v>
      </c>
      <c r="Q29" s="49">
        <v>38</v>
      </c>
      <c r="R29" s="49">
        <v>45</v>
      </c>
      <c r="S29" s="49">
        <v>41.7</v>
      </c>
      <c r="T29" s="49">
        <v>39.5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39.958333333333336</v>
      </c>
      <c r="D30" s="51">
        <f t="shared" si="1"/>
        <v>479.5</v>
      </c>
      <c r="E30" s="49">
        <v>1166.55</v>
      </c>
      <c r="F30" s="49">
        <f t="shared" si="2"/>
        <v>29.194160583941603</v>
      </c>
      <c r="G30" s="52">
        <f t="shared" si="3"/>
        <v>3.4253425342534255E-2</v>
      </c>
      <c r="I30" s="49">
        <v>39</v>
      </c>
      <c r="J30" s="49">
        <v>39</v>
      </c>
      <c r="K30" s="49">
        <v>40.6</v>
      </c>
      <c r="L30" s="49">
        <v>41</v>
      </c>
      <c r="M30" s="49">
        <v>43.1</v>
      </c>
      <c r="N30" s="49">
        <v>45</v>
      </c>
      <c r="O30" s="49">
        <v>44.5</v>
      </c>
      <c r="P30" s="49">
        <v>44</v>
      </c>
      <c r="Q30" s="49">
        <v>42.7</v>
      </c>
      <c r="R30" s="49">
        <v>40.6</v>
      </c>
      <c r="S30" s="49">
        <v>30</v>
      </c>
      <c r="T30" s="49">
        <v>30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38.81666666666667</v>
      </c>
      <c r="D31" s="51">
        <f t="shared" si="1"/>
        <v>465.80000000000007</v>
      </c>
      <c r="E31" s="49">
        <v>1166.55</v>
      </c>
      <c r="F31" s="49">
        <f t="shared" si="2"/>
        <v>30.052812365822238</v>
      </c>
      <c r="G31" s="52">
        <f t="shared" si="3"/>
        <v>3.3274756047033276E-2</v>
      </c>
      <c r="I31" s="49">
        <v>30</v>
      </c>
      <c r="J31" s="49">
        <v>30</v>
      </c>
      <c r="K31" s="49">
        <v>35.5</v>
      </c>
      <c r="L31" s="49">
        <v>44.8</v>
      </c>
      <c r="M31" s="49">
        <v>47.8</v>
      </c>
      <c r="N31" s="49">
        <v>43.1</v>
      </c>
      <c r="O31" s="49">
        <v>41.4</v>
      </c>
      <c r="P31" s="49">
        <v>41</v>
      </c>
      <c r="Q31" s="49">
        <v>39.4</v>
      </c>
      <c r="R31" s="49">
        <v>26.1</v>
      </c>
      <c r="S31" s="49">
        <v>50.1</v>
      </c>
      <c r="T31" s="49">
        <v>36.6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34.475000000000001</v>
      </c>
      <c r="D32" s="51">
        <f t="shared" si="1"/>
        <v>413.7</v>
      </c>
      <c r="E32" s="49">
        <v>1166.55</v>
      </c>
      <c r="F32" s="49">
        <f t="shared" si="2"/>
        <v>33.837563451776646</v>
      </c>
      <c r="G32" s="52">
        <f t="shared" si="3"/>
        <v>2.9552955295529554E-2</v>
      </c>
      <c r="I32" s="49">
        <v>39</v>
      </c>
      <c r="J32" s="49">
        <v>39</v>
      </c>
      <c r="K32" s="49">
        <v>41.1</v>
      </c>
      <c r="L32" s="49">
        <v>47</v>
      </c>
      <c r="M32" s="49">
        <v>47</v>
      </c>
      <c r="N32" s="49">
        <v>35</v>
      </c>
      <c r="O32" s="49">
        <v>36.700000000000003</v>
      </c>
      <c r="P32" s="49">
        <v>37</v>
      </c>
      <c r="Q32" s="49">
        <v>36.700000000000003</v>
      </c>
      <c r="R32" s="49">
        <v>35</v>
      </c>
      <c r="S32" s="49">
        <v>20.2</v>
      </c>
      <c r="T32" s="49">
        <v>0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51.724999999999994</v>
      </c>
      <c r="D33" s="51">
        <f t="shared" si="1"/>
        <v>620.69999999999993</v>
      </c>
      <c r="E33" s="49">
        <v>1166.55</v>
      </c>
      <c r="F33" s="49">
        <f t="shared" si="2"/>
        <v>22.552924117931369</v>
      </c>
      <c r="G33" s="52">
        <f t="shared" si="3"/>
        <v>4.4340148300544335E-2</v>
      </c>
      <c r="I33" s="49">
        <v>1.8</v>
      </c>
      <c r="J33" s="49">
        <v>10.9</v>
      </c>
      <c r="K33" s="49">
        <v>60.6</v>
      </c>
      <c r="L33" s="49">
        <v>62.8</v>
      </c>
      <c r="M33" s="49">
        <v>63</v>
      </c>
      <c r="N33" s="49">
        <v>60.8</v>
      </c>
      <c r="O33" s="49">
        <v>59.9</v>
      </c>
      <c r="P33" s="49">
        <v>59.1</v>
      </c>
      <c r="Q33" s="49">
        <v>61</v>
      </c>
      <c r="R33" s="49">
        <v>60.9</v>
      </c>
      <c r="S33" s="49">
        <v>60</v>
      </c>
      <c r="T33" s="49">
        <v>59.9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55.425000000000004</v>
      </c>
      <c r="D34" s="51">
        <f t="shared" si="1"/>
        <v>665.1</v>
      </c>
      <c r="E34" s="49">
        <v>1166.55</v>
      </c>
      <c r="F34" s="49">
        <f t="shared" si="2"/>
        <v>21.047361299052771</v>
      </c>
      <c r="G34" s="52">
        <f t="shared" si="3"/>
        <v>4.7511894046547515E-2</v>
      </c>
      <c r="I34" s="49">
        <v>59</v>
      </c>
      <c r="J34" s="49">
        <v>44.4</v>
      </c>
      <c r="K34" s="49">
        <v>60.5</v>
      </c>
      <c r="L34" s="49">
        <v>61.4</v>
      </c>
      <c r="M34" s="49">
        <v>60.4</v>
      </c>
      <c r="N34" s="49">
        <v>59.4</v>
      </c>
      <c r="O34" s="49">
        <v>58.3</v>
      </c>
      <c r="P34" s="49">
        <v>58</v>
      </c>
      <c r="Q34" s="49">
        <v>57.5</v>
      </c>
      <c r="R34" s="49">
        <v>55</v>
      </c>
      <c r="S34" s="49">
        <v>48.7</v>
      </c>
      <c r="T34" s="49">
        <v>42.5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41.366666666666667</v>
      </c>
      <c r="D35" s="51">
        <f t="shared" si="1"/>
        <v>496.40000000000003</v>
      </c>
      <c r="E35" s="49">
        <v>1166.55</v>
      </c>
      <c r="F35" s="49">
        <f t="shared" si="2"/>
        <v>28.200241740531826</v>
      </c>
      <c r="G35" s="52">
        <f t="shared" si="3"/>
        <v>3.5460688926035461E-2</v>
      </c>
      <c r="I35" s="49">
        <v>42</v>
      </c>
      <c r="J35" s="49">
        <v>42</v>
      </c>
      <c r="K35" s="49">
        <v>43</v>
      </c>
      <c r="L35" s="49">
        <v>44</v>
      </c>
      <c r="M35" s="49">
        <v>43.6</v>
      </c>
      <c r="N35" s="49">
        <v>41.2</v>
      </c>
      <c r="O35" s="49">
        <v>41</v>
      </c>
      <c r="P35" s="49">
        <v>41</v>
      </c>
      <c r="Q35" s="49">
        <v>40.299999999999997</v>
      </c>
      <c r="R35" s="49">
        <v>39</v>
      </c>
      <c r="S35" s="49">
        <v>29.1</v>
      </c>
      <c r="T35" s="49">
        <v>50.2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57.93333333333333</v>
      </c>
      <c r="D36" s="51">
        <f t="shared" si="1"/>
        <v>695.19999999999993</v>
      </c>
      <c r="E36" s="49">
        <v>1166.55</v>
      </c>
      <c r="F36" s="49">
        <f t="shared" si="2"/>
        <v>20.13607594936709</v>
      </c>
      <c r="G36" s="52">
        <f t="shared" si="3"/>
        <v>4.9662109068049659E-2</v>
      </c>
      <c r="I36" s="49">
        <v>52</v>
      </c>
      <c r="J36" s="49">
        <v>52</v>
      </c>
      <c r="K36" s="49">
        <v>54</v>
      </c>
      <c r="L36" s="49">
        <v>55</v>
      </c>
      <c r="M36" s="49">
        <v>54</v>
      </c>
      <c r="N36" s="49">
        <v>58</v>
      </c>
      <c r="O36" s="49">
        <v>62</v>
      </c>
      <c r="P36" s="49">
        <v>62</v>
      </c>
      <c r="Q36" s="49">
        <v>62</v>
      </c>
      <c r="R36" s="49">
        <v>59.9</v>
      </c>
      <c r="S36" s="49">
        <v>47.3</v>
      </c>
      <c r="T36" s="49">
        <v>77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67.541666666666671</v>
      </c>
      <c r="D37" s="51">
        <f t="shared" si="1"/>
        <v>810.50000000000011</v>
      </c>
      <c r="E37" s="49">
        <v>1166.55</v>
      </c>
      <c r="F37" s="49">
        <f t="shared" si="2"/>
        <v>17.271560764959901</v>
      </c>
      <c r="G37" s="52">
        <f t="shared" si="3"/>
        <v>5.7898647007557903E-2</v>
      </c>
      <c r="I37" s="49">
        <v>73.8</v>
      </c>
      <c r="J37" s="49">
        <v>71.7</v>
      </c>
      <c r="K37" s="49">
        <v>73.400000000000006</v>
      </c>
      <c r="L37" s="49">
        <v>71.7</v>
      </c>
      <c r="M37" s="49">
        <v>70.7</v>
      </c>
      <c r="N37" s="49">
        <v>70</v>
      </c>
      <c r="O37" s="49">
        <v>74.900000000000006</v>
      </c>
      <c r="P37" s="49">
        <v>77.599999999999994</v>
      </c>
      <c r="Q37" s="49">
        <v>76.599999999999994</v>
      </c>
      <c r="R37" s="49">
        <v>58</v>
      </c>
      <c r="S37" s="49">
        <v>41.1</v>
      </c>
      <c r="T37" s="49">
        <v>51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68.191666666666677</v>
      </c>
      <c r="D38" s="51">
        <f t="shared" si="1"/>
        <v>818.30000000000007</v>
      </c>
      <c r="E38" s="49">
        <v>1166.55</v>
      </c>
      <c r="F38" s="49">
        <f t="shared" si="2"/>
        <v>17.106928999144564</v>
      </c>
      <c r="G38" s="52">
        <f t="shared" si="3"/>
        <v>5.845584558455847E-2</v>
      </c>
      <c r="I38" s="49">
        <v>60</v>
      </c>
      <c r="J38" s="49">
        <v>69</v>
      </c>
      <c r="K38" s="49">
        <v>71.5</v>
      </c>
      <c r="L38" s="49">
        <v>75</v>
      </c>
      <c r="M38" s="49">
        <v>74.599999999999994</v>
      </c>
      <c r="N38" s="49">
        <v>74.599999999999994</v>
      </c>
      <c r="O38" s="49">
        <v>75</v>
      </c>
      <c r="P38" s="49">
        <v>75</v>
      </c>
      <c r="Q38" s="49">
        <v>74.599999999999994</v>
      </c>
      <c r="R38" s="49">
        <v>72.599999999999994</v>
      </c>
      <c r="S38" s="49">
        <v>46.4</v>
      </c>
      <c r="T38" s="49">
        <v>50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32.708333333333336</v>
      </c>
      <c r="D39" s="51">
        <f t="shared" si="1"/>
        <v>392.5</v>
      </c>
      <c r="E39" s="49">
        <v>1166.55</v>
      </c>
      <c r="F39" s="49">
        <f t="shared" si="2"/>
        <v>35.665222929936299</v>
      </c>
      <c r="G39" s="52">
        <f t="shared" si="3"/>
        <v>2.8038518137528043E-2</v>
      </c>
      <c r="I39" s="49">
        <v>50</v>
      </c>
      <c r="J39" s="49">
        <v>49.2</v>
      </c>
      <c r="K39" s="49">
        <v>39.6</v>
      </c>
      <c r="L39" s="49">
        <v>38.5</v>
      </c>
      <c r="M39" s="49">
        <v>37</v>
      </c>
      <c r="N39" s="49">
        <v>37</v>
      </c>
      <c r="O39" s="49">
        <v>37</v>
      </c>
      <c r="P39" s="49">
        <v>37</v>
      </c>
      <c r="Q39" s="49">
        <v>32.799999999999997</v>
      </c>
      <c r="R39" s="49">
        <v>30</v>
      </c>
      <c r="S39" s="49">
        <v>4.4000000000000004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26.716666666666669</v>
      </c>
      <c r="D40" s="51">
        <f t="shared" si="1"/>
        <v>320.60000000000002</v>
      </c>
      <c r="E40" s="49">
        <v>1166.55</v>
      </c>
      <c r="F40" s="49">
        <f t="shared" si="2"/>
        <v>43.663755458515276</v>
      </c>
      <c r="G40" s="52">
        <f t="shared" si="3"/>
        <v>2.2902290229022904E-2</v>
      </c>
      <c r="I40" s="49">
        <v>0</v>
      </c>
      <c r="J40" s="49">
        <v>0</v>
      </c>
      <c r="K40" s="49">
        <v>42.4</v>
      </c>
      <c r="L40" s="49">
        <v>105.8</v>
      </c>
      <c r="M40" s="49">
        <v>105</v>
      </c>
      <c r="N40" s="49">
        <v>67.400000000000006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44.141666666666673</v>
      </c>
      <c r="D41" s="51">
        <f t="shared" si="1"/>
        <v>529.70000000000005</v>
      </c>
      <c r="E41" s="49">
        <v>1166.55</v>
      </c>
      <c r="F41" s="49">
        <f t="shared" si="2"/>
        <v>26.427411742495746</v>
      </c>
      <c r="G41" s="52">
        <f t="shared" si="3"/>
        <v>3.7839498235537845E-2</v>
      </c>
      <c r="I41" s="49">
        <v>0</v>
      </c>
      <c r="J41" s="49">
        <v>49.6</v>
      </c>
      <c r="K41" s="49">
        <v>91.5</v>
      </c>
      <c r="L41" s="49">
        <v>94</v>
      </c>
      <c r="M41" s="49">
        <v>91.3</v>
      </c>
      <c r="N41" s="49">
        <v>86.1</v>
      </c>
      <c r="O41" s="49">
        <v>16.7</v>
      </c>
      <c r="P41" s="49">
        <v>13.1</v>
      </c>
      <c r="Q41" s="49">
        <v>13.2</v>
      </c>
      <c r="R41" s="49">
        <v>13.1</v>
      </c>
      <c r="S41" s="49">
        <v>25.1</v>
      </c>
      <c r="T41" s="49">
        <v>36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34.658333333333331</v>
      </c>
      <c r="D42" s="51">
        <f t="shared" si="1"/>
        <v>415.9</v>
      </c>
      <c r="E42" s="49">
        <v>1166.55</v>
      </c>
      <c r="F42" s="49">
        <f t="shared" si="2"/>
        <v>33.65857177206059</v>
      </c>
      <c r="G42" s="52">
        <f t="shared" si="3"/>
        <v>2.971011386852971E-2</v>
      </c>
      <c r="I42" s="49">
        <v>36</v>
      </c>
      <c r="J42" s="49">
        <v>35.299999999999997</v>
      </c>
      <c r="K42" s="49">
        <v>36.4</v>
      </c>
      <c r="L42" s="49">
        <v>39</v>
      </c>
      <c r="M42" s="49">
        <v>38.5</v>
      </c>
      <c r="N42" s="49">
        <v>38.5</v>
      </c>
      <c r="O42" s="49">
        <v>38</v>
      </c>
      <c r="P42" s="49">
        <v>38</v>
      </c>
      <c r="Q42" s="49">
        <v>37.5</v>
      </c>
      <c r="R42" s="49">
        <v>35</v>
      </c>
      <c r="S42" s="49">
        <v>18.7</v>
      </c>
      <c r="T42" s="49">
        <v>25</v>
      </c>
    </row>
    <row r="43" spans="1:20" s="53" customFormat="1" ht="15.75" customHeight="1" x14ac:dyDescent="0.25">
      <c r="A43" s="62">
        <v>1965</v>
      </c>
      <c r="B43" s="50">
        <v>12</v>
      </c>
      <c r="C43" s="51">
        <f t="shared" si="0"/>
        <v>21.583333333333332</v>
      </c>
      <c r="D43" s="51">
        <f t="shared" si="1"/>
        <v>259</v>
      </c>
      <c r="E43" s="49">
        <v>1166.55</v>
      </c>
      <c r="F43" s="49">
        <f t="shared" si="2"/>
        <v>54.048648648648651</v>
      </c>
      <c r="G43" s="52">
        <f t="shared" si="3"/>
        <v>1.8501850185018501E-2</v>
      </c>
      <c r="I43" s="49">
        <v>25</v>
      </c>
      <c r="J43" s="49">
        <v>25</v>
      </c>
      <c r="K43" s="49">
        <v>26.4</v>
      </c>
      <c r="L43" s="49">
        <v>27</v>
      </c>
      <c r="M43" s="49">
        <v>27</v>
      </c>
      <c r="N43" s="49">
        <v>27</v>
      </c>
      <c r="O43" s="49">
        <v>27</v>
      </c>
      <c r="P43" s="49">
        <v>27</v>
      </c>
      <c r="Q43" s="49">
        <v>26.1</v>
      </c>
      <c r="R43" s="49">
        <v>21.5</v>
      </c>
      <c r="S43" s="49">
        <v>0</v>
      </c>
      <c r="T43" s="49">
        <v>0</v>
      </c>
    </row>
    <row r="44" spans="1:20" s="53" customFormat="1" ht="15.75" customHeight="1" x14ac:dyDescent="0.25">
      <c r="A44" s="62">
        <v>1966</v>
      </c>
      <c r="B44" s="50">
        <v>12</v>
      </c>
      <c r="C44" s="51">
        <f t="shared" si="0"/>
        <v>18.541666666666668</v>
      </c>
      <c r="D44" s="51">
        <f t="shared" si="1"/>
        <v>222.50000000000003</v>
      </c>
      <c r="E44" s="49">
        <v>1166.55</v>
      </c>
      <c r="F44" s="49">
        <f t="shared" si="2"/>
        <v>62.915056179775277</v>
      </c>
      <c r="G44" s="52">
        <f t="shared" si="3"/>
        <v>1.5894446587515897E-2</v>
      </c>
      <c r="I44" s="49">
        <v>0</v>
      </c>
      <c r="J44" s="49">
        <v>20</v>
      </c>
      <c r="K44" s="49">
        <v>21.4</v>
      </c>
      <c r="L44" s="49">
        <v>22</v>
      </c>
      <c r="M44" s="49">
        <v>22</v>
      </c>
      <c r="N44" s="49">
        <v>22</v>
      </c>
      <c r="O44" s="49">
        <v>22</v>
      </c>
      <c r="P44" s="49">
        <v>22</v>
      </c>
      <c r="Q44" s="49">
        <v>21.3</v>
      </c>
      <c r="R44" s="49">
        <v>3</v>
      </c>
      <c r="S44" s="49">
        <v>23.4</v>
      </c>
      <c r="T44" s="49">
        <v>23.4</v>
      </c>
    </row>
    <row r="45" spans="1:20" s="53" customFormat="1" ht="15.75" customHeight="1" x14ac:dyDescent="0.25">
      <c r="A45" s="62">
        <v>1967</v>
      </c>
      <c r="B45" s="50">
        <v>12</v>
      </c>
      <c r="C45" s="51">
        <f t="shared" si="0"/>
        <v>30.55</v>
      </c>
      <c r="D45" s="51">
        <f t="shared" si="1"/>
        <v>366.6</v>
      </c>
      <c r="E45" s="49">
        <v>1166.55</v>
      </c>
      <c r="F45" s="49">
        <f t="shared" si="2"/>
        <v>38.184942716857606</v>
      </c>
      <c r="G45" s="52">
        <f t="shared" si="3"/>
        <v>2.6188333119026189E-2</v>
      </c>
      <c r="I45" s="49">
        <v>34</v>
      </c>
      <c r="J45" s="49">
        <v>32.5</v>
      </c>
      <c r="K45" s="49">
        <v>34.1</v>
      </c>
      <c r="L45" s="49">
        <v>34.799999999999997</v>
      </c>
      <c r="M45" s="49">
        <v>34</v>
      </c>
      <c r="N45" s="49">
        <v>34</v>
      </c>
      <c r="O45" s="49">
        <v>34</v>
      </c>
      <c r="P45" s="49">
        <v>34</v>
      </c>
      <c r="Q45" s="49">
        <v>34</v>
      </c>
      <c r="R45" s="49">
        <v>32.1</v>
      </c>
      <c r="S45" s="49">
        <v>16.5</v>
      </c>
      <c r="T45" s="49">
        <v>12.6</v>
      </c>
    </row>
    <row r="46" spans="1:20" s="53" customFormat="1" ht="15.75" customHeight="1" x14ac:dyDescent="0.25">
      <c r="A46" s="62">
        <v>1968</v>
      </c>
      <c r="B46" s="50">
        <v>12</v>
      </c>
      <c r="C46" s="51">
        <f t="shared" si="0"/>
        <v>40.875</v>
      </c>
      <c r="D46" s="51">
        <f t="shared" si="1"/>
        <v>490.5</v>
      </c>
      <c r="E46" s="49">
        <v>1166.55</v>
      </c>
      <c r="F46" s="49">
        <f t="shared" si="2"/>
        <v>28.539449541284402</v>
      </c>
      <c r="G46" s="52">
        <f t="shared" si="3"/>
        <v>3.5039218207535042E-2</v>
      </c>
      <c r="I46" s="49">
        <v>21</v>
      </c>
      <c r="J46" s="49">
        <v>21</v>
      </c>
      <c r="K46" s="49">
        <v>43.2</v>
      </c>
      <c r="L46" s="49">
        <v>45</v>
      </c>
      <c r="M46" s="49">
        <v>51</v>
      </c>
      <c r="N46" s="49">
        <v>50.1</v>
      </c>
      <c r="O46" s="49">
        <v>50</v>
      </c>
      <c r="P46" s="49">
        <v>50.6</v>
      </c>
      <c r="Q46" s="49">
        <v>51</v>
      </c>
      <c r="R46" s="49">
        <v>48</v>
      </c>
      <c r="S46" s="49">
        <v>31.6</v>
      </c>
      <c r="T46" s="49">
        <v>28</v>
      </c>
    </row>
    <row r="47" spans="1:20" s="53" customFormat="1" ht="15.75" customHeight="1" x14ac:dyDescent="0.25">
      <c r="A47" s="62">
        <v>1969</v>
      </c>
      <c r="B47" s="50">
        <v>12</v>
      </c>
      <c r="C47" s="51">
        <f t="shared" si="0"/>
        <v>28.991666666666671</v>
      </c>
      <c r="D47" s="51">
        <f t="shared" si="1"/>
        <v>347.90000000000003</v>
      </c>
      <c r="E47" s="49">
        <v>1166.55</v>
      </c>
      <c r="F47" s="49">
        <f t="shared" si="2"/>
        <v>40.237424547283695</v>
      </c>
      <c r="G47" s="52">
        <f t="shared" si="3"/>
        <v>2.4852485248524857E-2</v>
      </c>
      <c r="I47" s="49">
        <v>28</v>
      </c>
      <c r="J47" s="49">
        <v>28</v>
      </c>
      <c r="K47" s="49">
        <v>30.1</v>
      </c>
      <c r="L47" s="49">
        <v>31</v>
      </c>
      <c r="M47" s="49">
        <v>31</v>
      </c>
      <c r="N47" s="49">
        <v>31</v>
      </c>
      <c r="O47" s="49">
        <v>31</v>
      </c>
      <c r="P47" s="49">
        <v>31</v>
      </c>
      <c r="Q47" s="49">
        <v>31</v>
      </c>
      <c r="R47" s="49">
        <v>28</v>
      </c>
      <c r="S47" s="49">
        <v>14.8</v>
      </c>
      <c r="T47" s="49">
        <v>33</v>
      </c>
    </row>
    <row r="48" spans="1:20" s="53" customFormat="1" ht="15.75" customHeight="1" x14ac:dyDescent="0.25">
      <c r="A48" s="62">
        <v>1970</v>
      </c>
      <c r="B48" s="50">
        <v>12</v>
      </c>
      <c r="C48" s="51">
        <f t="shared" si="0"/>
        <v>30.808333333333334</v>
      </c>
      <c r="D48" s="51">
        <f t="shared" si="1"/>
        <v>369.7</v>
      </c>
      <c r="E48" s="49">
        <v>1166.55</v>
      </c>
      <c r="F48" s="49">
        <f t="shared" si="2"/>
        <v>37.864755206924535</v>
      </c>
      <c r="G48" s="52">
        <f t="shared" si="3"/>
        <v>2.6409783835526411E-2</v>
      </c>
      <c r="I48" s="49">
        <v>33</v>
      </c>
      <c r="J48" s="49">
        <v>33</v>
      </c>
      <c r="K48" s="49">
        <v>34.4</v>
      </c>
      <c r="L48" s="49">
        <v>35</v>
      </c>
      <c r="M48" s="49">
        <v>35</v>
      </c>
      <c r="N48" s="49">
        <v>34.9</v>
      </c>
      <c r="O48" s="49">
        <v>34</v>
      </c>
      <c r="P48" s="49">
        <v>34</v>
      </c>
      <c r="Q48" s="49">
        <v>34</v>
      </c>
      <c r="R48" s="49">
        <v>14.4</v>
      </c>
      <c r="S48" s="49">
        <v>24</v>
      </c>
      <c r="T48" s="49">
        <v>24</v>
      </c>
    </row>
    <row r="49" spans="1:22" s="53" customFormat="1" ht="15.75" customHeight="1" x14ac:dyDescent="0.25">
      <c r="A49" s="62">
        <v>1971</v>
      </c>
      <c r="B49" s="50">
        <v>12</v>
      </c>
      <c r="C49" s="51">
        <f t="shared" si="0"/>
        <v>25.408333333333331</v>
      </c>
      <c r="D49" s="51">
        <f t="shared" si="1"/>
        <v>304.89999999999998</v>
      </c>
      <c r="E49" s="49">
        <v>1166.55</v>
      </c>
      <c r="F49" s="49">
        <f t="shared" si="2"/>
        <v>45.912102328632344</v>
      </c>
      <c r="G49" s="52">
        <f t="shared" si="3"/>
        <v>2.1780749503521778E-2</v>
      </c>
      <c r="I49" s="49">
        <v>23.8</v>
      </c>
      <c r="J49" s="49">
        <v>23</v>
      </c>
      <c r="K49" s="49">
        <v>24.5</v>
      </c>
      <c r="L49" s="49">
        <v>25</v>
      </c>
      <c r="M49" s="49">
        <v>24.8</v>
      </c>
      <c r="N49" s="49">
        <v>24</v>
      </c>
      <c r="O49" s="49">
        <v>24</v>
      </c>
      <c r="P49" s="49">
        <v>24</v>
      </c>
      <c r="Q49" s="49">
        <v>24</v>
      </c>
      <c r="R49" s="49">
        <v>23.8</v>
      </c>
      <c r="S49" s="49">
        <v>32</v>
      </c>
      <c r="T49" s="49">
        <v>32</v>
      </c>
    </row>
    <row r="50" spans="1:22" s="53" customFormat="1" ht="15.75" customHeight="1" x14ac:dyDescent="0.25">
      <c r="A50" s="62">
        <v>1972</v>
      </c>
      <c r="B50" s="50">
        <v>12</v>
      </c>
      <c r="C50" s="51">
        <f t="shared" si="0"/>
        <v>31.616666666666671</v>
      </c>
      <c r="D50" s="51">
        <f t="shared" si="1"/>
        <v>379.40000000000003</v>
      </c>
      <c r="E50" s="49">
        <v>1166.55</v>
      </c>
      <c r="F50" s="49">
        <f t="shared" si="2"/>
        <v>36.896678966789665</v>
      </c>
      <c r="G50" s="52">
        <f t="shared" si="3"/>
        <v>2.7102710271027106E-2</v>
      </c>
      <c r="I50" s="49">
        <v>32</v>
      </c>
      <c r="J50" s="49">
        <v>32</v>
      </c>
      <c r="K50" s="49">
        <v>32.6</v>
      </c>
      <c r="L50" s="49">
        <v>33</v>
      </c>
      <c r="M50" s="49">
        <v>33</v>
      </c>
      <c r="N50" s="49">
        <v>32</v>
      </c>
      <c r="O50" s="49">
        <v>32</v>
      </c>
      <c r="P50" s="49">
        <v>32</v>
      </c>
      <c r="Q50" s="49">
        <v>32</v>
      </c>
      <c r="R50" s="49">
        <v>31.6</v>
      </c>
      <c r="S50" s="49">
        <v>31</v>
      </c>
      <c r="T50" s="49">
        <v>26.2</v>
      </c>
    </row>
    <row r="51" spans="1:22" s="53" customFormat="1" ht="15.75" customHeight="1" x14ac:dyDescent="0.25">
      <c r="A51" s="62">
        <v>1973</v>
      </c>
      <c r="B51" s="50">
        <v>12</v>
      </c>
      <c r="C51" s="51">
        <f t="shared" si="0"/>
        <v>27.866666666666664</v>
      </c>
      <c r="D51" s="51">
        <f t="shared" si="1"/>
        <v>334.4</v>
      </c>
      <c r="E51" s="49">
        <v>1166.55</v>
      </c>
      <c r="F51" s="49">
        <f t="shared" si="2"/>
        <v>41.861842105263158</v>
      </c>
      <c r="G51" s="52">
        <f t="shared" si="3"/>
        <v>2.3888103096023888E-2</v>
      </c>
      <c r="I51" s="49">
        <v>13.9</v>
      </c>
      <c r="J51" s="49">
        <v>30.3</v>
      </c>
      <c r="K51" s="49">
        <v>32.700000000000003</v>
      </c>
      <c r="L51" s="49">
        <v>33</v>
      </c>
      <c r="M51" s="49">
        <v>33</v>
      </c>
      <c r="N51" s="49">
        <v>33</v>
      </c>
      <c r="O51" s="49">
        <v>33</v>
      </c>
      <c r="P51" s="49">
        <v>33</v>
      </c>
      <c r="Q51" s="49">
        <v>33</v>
      </c>
      <c r="R51" s="49">
        <v>19.600000000000001</v>
      </c>
      <c r="S51" s="49">
        <v>13.9</v>
      </c>
      <c r="T51" s="49">
        <v>26</v>
      </c>
    </row>
    <row r="52" spans="1:22" s="53" customFormat="1" ht="15.75" customHeight="1" x14ac:dyDescent="0.25">
      <c r="A52" s="62">
        <v>1974</v>
      </c>
      <c r="B52" s="50">
        <v>12</v>
      </c>
      <c r="C52" s="51">
        <f t="shared" si="0"/>
        <v>22.791666666666668</v>
      </c>
      <c r="D52" s="51">
        <f t="shared" si="1"/>
        <v>273.5</v>
      </c>
      <c r="E52" s="49">
        <v>1166.55</v>
      </c>
      <c r="F52" s="49">
        <f t="shared" si="2"/>
        <v>51.183180987202917</v>
      </c>
      <c r="G52" s="52">
        <f t="shared" si="3"/>
        <v>1.9537668052519538E-2</v>
      </c>
      <c r="I52" s="49">
        <v>26</v>
      </c>
      <c r="J52" s="49">
        <v>26</v>
      </c>
      <c r="K52" s="49">
        <v>12.6</v>
      </c>
      <c r="L52" s="49">
        <v>17.5</v>
      </c>
      <c r="M52" s="49">
        <v>18</v>
      </c>
      <c r="N52" s="49">
        <v>18.8</v>
      </c>
      <c r="O52" s="49">
        <v>22.7</v>
      </c>
      <c r="P52" s="49">
        <v>23</v>
      </c>
      <c r="Q52" s="49">
        <v>22.1</v>
      </c>
      <c r="R52" s="49">
        <v>22.8</v>
      </c>
      <c r="S52" s="49">
        <v>30</v>
      </c>
      <c r="T52" s="49">
        <v>34</v>
      </c>
    </row>
    <row r="53" spans="1:22" s="53" customFormat="1" ht="15.75" customHeight="1" x14ac:dyDescent="0.25">
      <c r="A53" s="62">
        <v>1975</v>
      </c>
      <c r="B53" s="50">
        <v>12</v>
      </c>
      <c r="C53" s="51">
        <f t="shared" si="0"/>
        <v>26.700000000000003</v>
      </c>
      <c r="D53" s="51">
        <f t="shared" si="1"/>
        <v>320.40000000000003</v>
      </c>
      <c r="E53" s="49">
        <v>1166.55</v>
      </c>
      <c r="F53" s="49">
        <f t="shared" si="2"/>
        <v>43.691011235955052</v>
      </c>
      <c r="G53" s="52">
        <f t="shared" si="3"/>
        <v>2.2888003086022891E-2</v>
      </c>
      <c r="I53" s="49">
        <v>34</v>
      </c>
      <c r="J53" s="49">
        <v>34</v>
      </c>
      <c r="K53" s="49">
        <v>23.9</v>
      </c>
      <c r="L53" s="49">
        <v>23</v>
      </c>
      <c r="M53" s="49">
        <v>23.3</v>
      </c>
      <c r="N53" s="49">
        <v>24</v>
      </c>
      <c r="O53" s="49">
        <v>25</v>
      </c>
      <c r="P53" s="49">
        <v>25</v>
      </c>
      <c r="Q53" s="49">
        <v>25</v>
      </c>
      <c r="R53" s="49">
        <v>22.7</v>
      </c>
      <c r="S53" s="49">
        <v>30</v>
      </c>
      <c r="T53" s="49">
        <v>30.5</v>
      </c>
    </row>
    <row r="54" spans="1:22" s="53" customFormat="1" ht="15.75" customHeight="1" x14ac:dyDescent="0.25">
      <c r="A54" s="62">
        <v>1976</v>
      </c>
      <c r="B54" s="50">
        <v>12</v>
      </c>
      <c r="C54" s="51">
        <f t="shared" si="0"/>
        <v>18.983333333333334</v>
      </c>
      <c r="D54" s="51">
        <f t="shared" si="1"/>
        <v>227.8</v>
      </c>
      <c r="E54" s="49">
        <v>1166.55</v>
      </c>
      <c r="F54" s="49">
        <f t="shared" si="2"/>
        <v>61.451273046532037</v>
      </c>
      <c r="G54" s="52">
        <f t="shared" si="3"/>
        <v>1.6273055877016274E-2</v>
      </c>
      <c r="I54" s="49">
        <v>44</v>
      </c>
      <c r="J54" s="49">
        <v>44</v>
      </c>
      <c r="K54" s="49">
        <v>35.9</v>
      </c>
      <c r="L54" s="49">
        <v>35</v>
      </c>
      <c r="M54" s="49">
        <v>34.700000000000003</v>
      </c>
      <c r="N54" s="49">
        <v>34.200000000000003</v>
      </c>
      <c r="O54" s="49"/>
      <c r="P54" s="49"/>
      <c r="Q54" s="49"/>
      <c r="R54" s="49"/>
      <c r="S54" s="49"/>
      <c r="T54" s="49"/>
    </row>
    <row r="55" spans="1:22" s="53" customFormat="1" ht="15.75" customHeight="1" x14ac:dyDescent="0.25">
      <c r="A55" s="62">
        <v>1977</v>
      </c>
      <c r="B55" s="50"/>
      <c r="C55" s="51"/>
      <c r="D55" s="51"/>
      <c r="E55" s="49">
        <v>1166.55</v>
      </c>
      <c r="F55" s="49"/>
      <c r="G55" s="52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2" s="53" customFormat="1" ht="15.75" customHeight="1" x14ac:dyDescent="0.25">
      <c r="A56" s="62">
        <v>1978</v>
      </c>
      <c r="B56" s="50"/>
      <c r="C56" s="51"/>
      <c r="D56" s="51"/>
      <c r="E56" s="49">
        <v>1166.55</v>
      </c>
      <c r="F56" s="49"/>
      <c r="G56" s="52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2" s="53" customFormat="1" ht="15.75" customHeight="1" x14ac:dyDescent="0.25">
      <c r="A57" s="62">
        <v>1979</v>
      </c>
      <c r="B57" s="50"/>
      <c r="C57" s="51"/>
      <c r="D57" s="51"/>
      <c r="E57" s="49">
        <v>1166.55</v>
      </c>
      <c r="F57" s="49"/>
      <c r="G57" s="52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2" s="53" customFormat="1" ht="15.75" customHeight="1" x14ac:dyDescent="0.25">
      <c r="A58" s="62">
        <v>1980</v>
      </c>
      <c r="B58" s="50"/>
      <c r="C58" s="51"/>
      <c r="D58" s="51"/>
      <c r="E58" s="49">
        <v>1166.55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2" s="53" customFormat="1" ht="15.75" customHeight="1" x14ac:dyDescent="0.25">
      <c r="A59" s="62">
        <v>1981</v>
      </c>
      <c r="B59" s="50"/>
      <c r="C59" s="51"/>
      <c r="D59" s="51"/>
      <c r="E59" s="49">
        <v>1166.55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2" s="53" customFormat="1" ht="15.75" customHeight="1" x14ac:dyDescent="0.25">
      <c r="A60" s="62">
        <v>1982</v>
      </c>
      <c r="B60" s="50">
        <v>12</v>
      </c>
      <c r="C60" s="51">
        <f t="shared" si="0"/>
        <v>12.5</v>
      </c>
      <c r="D60" s="51">
        <f t="shared" si="1"/>
        <v>150</v>
      </c>
      <c r="E60" s="49">
        <v>1166.55</v>
      </c>
      <c r="F60" s="49">
        <f t="shared" si="2"/>
        <v>93.323999999999998</v>
      </c>
      <c r="G60" s="52">
        <f t="shared" si="3"/>
        <v>1.0715357250010715E-2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>
        <v>75</v>
      </c>
      <c r="T60" s="49">
        <v>75</v>
      </c>
      <c r="V60" s="48"/>
    </row>
    <row r="61" spans="1:22" s="53" customFormat="1" ht="15.75" customHeight="1" x14ac:dyDescent="0.25">
      <c r="A61" s="62">
        <v>1983</v>
      </c>
      <c r="B61" s="50">
        <v>12</v>
      </c>
      <c r="C61" s="51">
        <f t="shared" si="0"/>
        <v>20.5</v>
      </c>
      <c r="D61" s="51">
        <f t="shared" si="1"/>
        <v>246</v>
      </c>
      <c r="E61" s="49">
        <v>402.85</v>
      </c>
      <c r="F61" s="49">
        <f t="shared" si="2"/>
        <v>19.651219512195123</v>
      </c>
      <c r="G61" s="52">
        <f t="shared" si="3"/>
        <v>5.0887427082040457E-2</v>
      </c>
      <c r="I61" s="49">
        <v>75</v>
      </c>
      <c r="J61" s="49">
        <v>75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48</v>
      </c>
      <c r="T61" s="49">
        <v>48</v>
      </c>
      <c r="V61" s="48"/>
    </row>
    <row r="62" spans="1:22" s="53" customFormat="1" ht="15.75" customHeight="1" x14ac:dyDescent="0.25">
      <c r="A62" s="62">
        <v>1984</v>
      </c>
      <c r="B62" s="50">
        <v>12</v>
      </c>
      <c r="C62" s="51">
        <f t="shared" si="0"/>
        <v>45.5</v>
      </c>
      <c r="D62" s="51">
        <f t="shared" si="1"/>
        <v>546</v>
      </c>
      <c r="E62" s="49">
        <v>402.85</v>
      </c>
      <c r="F62" s="49">
        <f t="shared" si="2"/>
        <v>8.8538461538461544</v>
      </c>
      <c r="G62" s="52">
        <f t="shared" si="3"/>
        <v>0.11294526498696784</v>
      </c>
      <c r="I62" s="49">
        <v>48</v>
      </c>
      <c r="J62" s="49">
        <v>48</v>
      </c>
      <c r="K62" s="49">
        <v>37.5</v>
      </c>
      <c r="L62" s="49">
        <v>37.5</v>
      </c>
      <c r="M62" s="49">
        <v>37.5</v>
      </c>
      <c r="N62" s="49">
        <v>37.5</v>
      </c>
      <c r="O62" s="49">
        <v>37.5</v>
      </c>
      <c r="P62" s="49">
        <v>37.5</v>
      </c>
      <c r="Q62" s="49">
        <v>37.5</v>
      </c>
      <c r="R62" s="49">
        <v>37.5</v>
      </c>
      <c r="S62" s="49">
        <v>75</v>
      </c>
      <c r="T62" s="49">
        <v>75</v>
      </c>
    </row>
    <row r="63" spans="1:22" s="53" customFormat="1" ht="15.75" customHeight="1" x14ac:dyDescent="0.25">
      <c r="A63" s="62">
        <v>1985</v>
      </c>
      <c r="B63" s="50">
        <v>12</v>
      </c>
      <c r="C63" s="51">
        <f t="shared" si="0"/>
        <v>32.833333333333336</v>
      </c>
      <c r="D63" s="51">
        <f t="shared" si="1"/>
        <v>394</v>
      </c>
      <c r="E63" s="49">
        <v>402.85</v>
      </c>
      <c r="F63" s="49">
        <f t="shared" si="2"/>
        <v>12.269543147208122</v>
      </c>
      <c r="G63" s="52">
        <f t="shared" si="3"/>
        <v>8.1502627115137977E-2</v>
      </c>
      <c r="I63" s="49">
        <v>75</v>
      </c>
      <c r="J63" s="49">
        <v>75</v>
      </c>
      <c r="K63" s="49">
        <v>18</v>
      </c>
      <c r="L63" s="49">
        <v>18</v>
      </c>
      <c r="M63" s="49">
        <v>18</v>
      </c>
      <c r="N63" s="49">
        <v>18</v>
      </c>
      <c r="O63" s="49">
        <v>18</v>
      </c>
      <c r="P63" s="49">
        <v>18</v>
      </c>
      <c r="Q63" s="49">
        <v>18</v>
      </c>
      <c r="R63" s="49">
        <v>18</v>
      </c>
      <c r="S63" s="49">
        <v>50</v>
      </c>
      <c r="T63" s="49">
        <v>50</v>
      </c>
    </row>
    <row r="64" spans="1:22" s="53" customFormat="1" ht="15.75" customHeight="1" x14ac:dyDescent="0.25">
      <c r="A64" s="62">
        <v>1986</v>
      </c>
      <c r="B64" s="50">
        <v>12</v>
      </c>
      <c r="C64" s="51">
        <f t="shared" si="0"/>
        <v>8.3333333333333339</v>
      </c>
      <c r="D64" s="51">
        <f t="shared" si="1"/>
        <v>100</v>
      </c>
      <c r="E64" s="49">
        <v>402.85</v>
      </c>
      <c r="F64" s="49">
        <f t="shared" si="2"/>
        <v>48.341999999999999</v>
      </c>
      <c r="G64" s="52">
        <f t="shared" si="3"/>
        <v>2.0685945968309132E-2</v>
      </c>
      <c r="I64" s="49">
        <v>50</v>
      </c>
      <c r="J64" s="49">
        <v>50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62">
        <v>1987</v>
      </c>
      <c r="B65" s="50">
        <v>12</v>
      </c>
      <c r="C65" s="51">
        <f t="shared" si="0"/>
        <v>38.666666666666664</v>
      </c>
      <c r="D65" s="51">
        <f t="shared" si="1"/>
        <v>464</v>
      </c>
      <c r="E65" s="49">
        <v>402.85</v>
      </c>
      <c r="F65" s="49">
        <f t="shared" si="2"/>
        <v>10.418534482758622</v>
      </c>
      <c r="G65" s="52">
        <f t="shared" si="3"/>
        <v>9.5982789292954354E-2</v>
      </c>
      <c r="I65" s="49">
        <v>0</v>
      </c>
      <c r="J65" s="49">
        <v>0</v>
      </c>
      <c r="K65" s="49">
        <v>58</v>
      </c>
      <c r="L65" s="49">
        <v>58</v>
      </c>
      <c r="M65" s="49">
        <v>58</v>
      </c>
      <c r="N65" s="49">
        <v>58</v>
      </c>
      <c r="O65" s="49">
        <v>58</v>
      </c>
      <c r="P65" s="49">
        <v>58</v>
      </c>
      <c r="Q65" s="49">
        <v>58</v>
      </c>
      <c r="R65" s="49">
        <v>58</v>
      </c>
      <c r="S65" s="49"/>
      <c r="T65" s="49"/>
    </row>
    <row r="66" spans="1:20" s="53" customFormat="1" ht="15.75" customHeight="1" x14ac:dyDescent="0.25">
      <c r="A66" s="62">
        <v>1988</v>
      </c>
      <c r="B66" s="50">
        <v>12</v>
      </c>
      <c r="C66" s="51">
        <f t="shared" si="0"/>
        <v>8.3333333333333339</v>
      </c>
      <c r="D66" s="51">
        <f t="shared" si="1"/>
        <v>100</v>
      </c>
      <c r="E66" s="49">
        <v>402.85</v>
      </c>
      <c r="F66" s="49">
        <f t="shared" si="2"/>
        <v>48.341999999999999</v>
      </c>
      <c r="G66" s="52">
        <f t="shared" si="3"/>
        <v>2.0685945968309132E-2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50</v>
      </c>
      <c r="T66" s="49">
        <v>50</v>
      </c>
    </row>
    <row r="67" spans="1:20" s="53" customFormat="1" ht="15.75" customHeight="1" x14ac:dyDescent="0.25">
      <c r="A67" s="62">
        <v>1989</v>
      </c>
      <c r="B67" s="50">
        <v>12</v>
      </c>
      <c r="C67" s="51">
        <f t="shared" si="0"/>
        <v>8.3333333333333339</v>
      </c>
      <c r="D67" s="51">
        <f t="shared" si="1"/>
        <v>100</v>
      </c>
      <c r="E67" s="49">
        <v>402.85</v>
      </c>
      <c r="F67" s="49">
        <f t="shared" si="2"/>
        <v>48.341999999999999</v>
      </c>
      <c r="G67" s="52">
        <f t="shared" si="3"/>
        <v>2.0685945968309132E-2</v>
      </c>
      <c r="I67" s="49">
        <v>50</v>
      </c>
      <c r="J67" s="49">
        <v>50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62">
        <v>1990</v>
      </c>
      <c r="B68" s="50">
        <v>12</v>
      </c>
      <c r="C68" s="51">
        <f t="shared" ref="C68:C88" si="4">D68/B68</f>
        <v>36.333333333333336</v>
      </c>
      <c r="D68" s="51">
        <f t="shared" ref="D68:D88" si="5">SUM(I68:T68)</f>
        <v>436</v>
      </c>
      <c r="E68" s="49">
        <v>402.85</v>
      </c>
      <c r="F68" s="49">
        <f t="shared" ref="F68:F88" si="6">E68/C68</f>
        <v>11.087614678899083</v>
      </c>
      <c r="G68" s="52">
        <f t="shared" ref="G68:G88" si="7">C68/E68</f>
        <v>9.0190724421827809E-2</v>
      </c>
      <c r="I68" s="49">
        <v>0</v>
      </c>
      <c r="J68" s="49">
        <v>0</v>
      </c>
      <c r="K68" s="49">
        <v>54.5</v>
      </c>
      <c r="L68" s="49">
        <v>54.5</v>
      </c>
      <c r="M68" s="49">
        <v>54.5</v>
      </c>
      <c r="N68" s="49">
        <v>54.5</v>
      </c>
      <c r="O68" s="49">
        <v>54.5</v>
      </c>
      <c r="P68" s="49">
        <v>54.5</v>
      </c>
      <c r="Q68" s="49">
        <v>54.5</v>
      </c>
      <c r="R68" s="49">
        <v>54.5</v>
      </c>
      <c r="S68" s="49">
        <v>0</v>
      </c>
      <c r="T68" s="49">
        <v>0</v>
      </c>
    </row>
    <row r="69" spans="1:20" s="53" customFormat="1" ht="15.75" customHeight="1" x14ac:dyDescent="0.25">
      <c r="A69" s="62">
        <v>1991</v>
      </c>
      <c r="B69" s="50">
        <v>12</v>
      </c>
      <c r="C69" s="51">
        <f t="shared" si="4"/>
        <v>8.3333333333333339</v>
      </c>
      <c r="D69" s="51">
        <f t="shared" si="5"/>
        <v>100</v>
      </c>
      <c r="E69" s="49">
        <v>402.85</v>
      </c>
      <c r="F69" s="49">
        <f t="shared" si="6"/>
        <v>48.341999999999999</v>
      </c>
      <c r="G69" s="52">
        <f t="shared" si="7"/>
        <v>2.0685945968309132E-2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50</v>
      </c>
      <c r="T69" s="49">
        <v>50</v>
      </c>
    </row>
    <row r="70" spans="1:20" s="53" customFormat="1" ht="15.75" customHeight="1" x14ac:dyDescent="0.25">
      <c r="A70" s="62">
        <v>1992</v>
      </c>
      <c r="B70" s="50">
        <v>12</v>
      </c>
      <c r="C70" s="51">
        <f t="shared" si="4"/>
        <v>8.3333333333333339</v>
      </c>
      <c r="D70" s="51">
        <f t="shared" si="5"/>
        <v>100</v>
      </c>
      <c r="E70" s="49">
        <v>402.85</v>
      </c>
      <c r="F70" s="49">
        <f t="shared" si="6"/>
        <v>48.341999999999999</v>
      </c>
      <c r="G70" s="52">
        <f t="shared" si="7"/>
        <v>2.0685945968309132E-2</v>
      </c>
      <c r="I70" s="49">
        <v>50</v>
      </c>
      <c r="J70" s="49">
        <v>50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62">
        <v>1993</v>
      </c>
      <c r="B71" s="50">
        <v>12</v>
      </c>
      <c r="C71" s="51">
        <f t="shared" si="4"/>
        <v>36.333333333333336</v>
      </c>
      <c r="D71" s="51">
        <f t="shared" si="5"/>
        <v>436</v>
      </c>
      <c r="E71" s="49">
        <v>402.85</v>
      </c>
      <c r="F71" s="49">
        <f t="shared" si="6"/>
        <v>11.087614678899083</v>
      </c>
      <c r="G71" s="52">
        <f t="shared" si="7"/>
        <v>9.0190724421827809E-2</v>
      </c>
      <c r="I71" s="49">
        <v>0</v>
      </c>
      <c r="J71" s="49">
        <v>0</v>
      </c>
      <c r="K71" s="49">
        <v>54.5</v>
      </c>
      <c r="L71" s="49">
        <v>54.5</v>
      </c>
      <c r="M71" s="49">
        <v>54.5</v>
      </c>
      <c r="N71" s="49">
        <v>54.5</v>
      </c>
      <c r="O71" s="49">
        <v>54.5</v>
      </c>
      <c r="P71" s="49">
        <v>54.5</v>
      </c>
      <c r="Q71" s="49">
        <v>54.5</v>
      </c>
      <c r="R71" s="49">
        <v>54.5</v>
      </c>
      <c r="S71" s="49">
        <v>0</v>
      </c>
      <c r="T71" s="49">
        <v>0</v>
      </c>
    </row>
    <row r="72" spans="1:20" s="53" customFormat="1" ht="15.75" customHeight="1" x14ac:dyDescent="0.25">
      <c r="A72" s="62">
        <v>1994</v>
      </c>
      <c r="B72" s="50">
        <v>12</v>
      </c>
      <c r="C72" s="51">
        <f t="shared" si="4"/>
        <v>8.3333333333333339</v>
      </c>
      <c r="D72" s="51">
        <f t="shared" si="5"/>
        <v>100</v>
      </c>
      <c r="E72" s="49">
        <v>402.85</v>
      </c>
      <c r="F72" s="49">
        <f t="shared" si="6"/>
        <v>48.341999999999999</v>
      </c>
      <c r="G72" s="52">
        <f t="shared" si="7"/>
        <v>2.0685945968309132E-2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50</v>
      </c>
      <c r="T72" s="49">
        <v>50</v>
      </c>
    </row>
    <row r="73" spans="1:20" s="53" customFormat="1" ht="15.75" customHeight="1" x14ac:dyDescent="0.25">
      <c r="A73" s="62">
        <v>1995</v>
      </c>
      <c r="B73" s="50">
        <v>12</v>
      </c>
      <c r="C73" s="51">
        <f t="shared" si="4"/>
        <v>8.3333333333333339</v>
      </c>
      <c r="D73" s="51">
        <f t="shared" si="5"/>
        <v>100</v>
      </c>
      <c r="E73" s="49">
        <v>402.85</v>
      </c>
      <c r="F73" s="49">
        <f t="shared" si="6"/>
        <v>48.341999999999999</v>
      </c>
      <c r="G73" s="52">
        <f t="shared" si="7"/>
        <v>2.0685945968309132E-2</v>
      </c>
      <c r="I73" s="49">
        <v>50</v>
      </c>
      <c r="J73" s="49">
        <v>50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62">
        <v>1996</v>
      </c>
      <c r="B74" s="50">
        <v>12</v>
      </c>
      <c r="C74" s="51">
        <f t="shared" si="4"/>
        <v>36.333333333333336</v>
      </c>
      <c r="D74" s="51">
        <f t="shared" si="5"/>
        <v>436</v>
      </c>
      <c r="E74" s="49">
        <v>402.85</v>
      </c>
      <c r="F74" s="49">
        <f t="shared" si="6"/>
        <v>11.087614678899083</v>
      </c>
      <c r="G74" s="52">
        <f t="shared" si="7"/>
        <v>9.0190724421827809E-2</v>
      </c>
      <c r="I74" s="49">
        <v>0</v>
      </c>
      <c r="J74" s="49">
        <v>0</v>
      </c>
      <c r="K74" s="49">
        <v>54.5</v>
      </c>
      <c r="L74" s="49">
        <v>54.5</v>
      </c>
      <c r="M74" s="49">
        <v>54.5</v>
      </c>
      <c r="N74" s="49">
        <v>54.5</v>
      </c>
      <c r="O74" s="49">
        <v>54.5</v>
      </c>
      <c r="P74" s="49">
        <v>54.5</v>
      </c>
      <c r="Q74" s="49">
        <v>54.5</v>
      </c>
      <c r="R74" s="49">
        <v>54.5</v>
      </c>
      <c r="S74" s="49">
        <v>0</v>
      </c>
      <c r="T74" s="49">
        <v>0</v>
      </c>
    </row>
    <row r="75" spans="1:20" s="53" customFormat="1" ht="15.75" customHeight="1" x14ac:dyDescent="0.25">
      <c r="A75" s="62">
        <v>1997</v>
      </c>
      <c r="B75" s="50">
        <v>12</v>
      </c>
      <c r="C75" s="51">
        <f t="shared" si="4"/>
        <v>9.0833333333333339</v>
      </c>
      <c r="D75" s="51">
        <f t="shared" si="5"/>
        <v>109</v>
      </c>
      <c r="E75" s="49">
        <v>402.85</v>
      </c>
      <c r="F75" s="49">
        <f t="shared" si="6"/>
        <v>44.350458715596332</v>
      </c>
      <c r="G75" s="52">
        <f t="shared" si="7"/>
        <v>2.2547681105456952E-2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54.5</v>
      </c>
      <c r="T75" s="49">
        <v>54.5</v>
      </c>
    </row>
    <row r="76" spans="1:20" s="53" customFormat="1" ht="15.75" customHeight="1" x14ac:dyDescent="0.25">
      <c r="A76" s="62">
        <v>1998</v>
      </c>
      <c r="B76" s="50">
        <v>12</v>
      </c>
      <c r="C76" s="51">
        <f t="shared" si="4"/>
        <v>9.0833333333333339</v>
      </c>
      <c r="D76" s="51">
        <f t="shared" si="5"/>
        <v>109</v>
      </c>
      <c r="E76" s="49">
        <v>402.85</v>
      </c>
      <c r="F76" s="49">
        <f t="shared" si="6"/>
        <v>44.350458715596332</v>
      </c>
      <c r="G76" s="52">
        <f t="shared" si="7"/>
        <v>2.2547681105456952E-2</v>
      </c>
      <c r="I76" s="49">
        <v>54.5</v>
      </c>
      <c r="J76" s="49">
        <v>54.5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62">
        <v>1999</v>
      </c>
      <c r="B77" s="50">
        <v>12</v>
      </c>
      <c r="C77" s="51">
        <f t="shared" si="4"/>
        <v>39.666666666666664</v>
      </c>
      <c r="D77" s="51">
        <f t="shared" si="5"/>
        <v>476</v>
      </c>
      <c r="E77" s="49">
        <v>402.85</v>
      </c>
      <c r="F77" s="49">
        <f t="shared" si="6"/>
        <v>10.155882352941177</v>
      </c>
      <c r="G77" s="52">
        <f t="shared" si="7"/>
        <v>9.8465102809151453E-2</v>
      </c>
      <c r="I77" s="49">
        <v>0</v>
      </c>
      <c r="J77" s="49">
        <v>0</v>
      </c>
      <c r="K77" s="49">
        <v>59.5</v>
      </c>
      <c r="L77" s="49">
        <v>59.5</v>
      </c>
      <c r="M77" s="49">
        <v>59.5</v>
      </c>
      <c r="N77" s="49">
        <v>59.5</v>
      </c>
      <c r="O77" s="49">
        <v>59.5</v>
      </c>
      <c r="P77" s="49">
        <v>59.5</v>
      </c>
      <c r="Q77" s="49">
        <v>59.5</v>
      </c>
      <c r="R77" s="49">
        <v>59.5</v>
      </c>
      <c r="S77" s="49">
        <v>0</v>
      </c>
      <c r="T77" s="49">
        <v>0</v>
      </c>
    </row>
    <row r="78" spans="1:20" s="53" customFormat="1" ht="15.75" customHeight="1" x14ac:dyDescent="0.25">
      <c r="A78" s="62">
        <v>2000</v>
      </c>
      <c r="B78" s="50">
        <v>12</v>
      </c>
      <c r="C78" s="51">
        <f t="shared" si="4"/>
        <v>9.1666666666666661</v>
      </c>
      <c r="D78" s="51">
        <f t="shared" si="5"/>
        <v>110</v>
      </c>
      <c r="E78" s="49">
        <v>402.85</v>
      </c>
      <c r="F78" s="49">
        <f t="shared" si="6"/>
        <v>43.947272727272733</v>
      </c>
      <c r="G78" s="52">
        <f t="shared" si="7"/>
        <v>2.2754540565140043E-2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55</v>
      </c>
      <c r="T78" s="49">
        <v>55</v>
      </c>
    </row>
    <row r="79" spans="1:20" s="53" customFormat="1" ht="15.75" customHeight="1" x14ac:dyDescent="0.25">
      <c r="A79" s="62">
        <v>2001</v>
      </c>
      <c r="B79" s="50">
        <v>12</v>
      </c>
      <c r="C79" s="51">
        <f t="shared" si="4"/>
        <v>9.1666666666666661</v>
      </c>
      <c r="D79" s="51">
        <f t="shared" si="5"/>
        <v>110</v>
      </c>
      <c r="E79" s="49">
        <v>402.85</v>
      </c>
      <c r="F79" s="49">
        <f t="shared" si="6"/>
        <v>43.947272727272733</v>
      </c>
      <c r="G79" s="52">
        <f t="shared" si="7"/>
        <v>2.2754540565140043E-2</v>
      </c>
      <c r="I79" s="49">
        <v>55</v>
      </c>
      <c r="J79" s="49">
        <v>55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62">
        <v>2002</v>
      </c>
      <c r="B80" s="50">
        <v>12</v>
      </c>
      <c r="C80" s="51">
        <f t="shared" si="4"/>
        <v>39.666666666666664</v>
      </c>
      <c r="D80" s="51">
        <f t="shared" si="5"/>
        <v>476</v>
      </c>
      <c r="E80" s="49">
        <v>402.85</v>
      </c>
      <c r="F80" s="49">
        <f t="shared" si="6"/>
        <v>10.155882352941177</v>
      </c>
      <c r="G80" s="52">
        <f t="shared" si="7"/>
        <v>9.8465102809151453E-2</v>
      </c>
      <c r="I80" s="49">
        <v>0</v>
      </c>
      <c r="J80" s="49">
        <v>0</v>
      </c>
      <c r="K80" s="49">
        <v>59.5</v>
      </c>
      <c r="L80" s="49">
        <v>59.5</v>
      </c>
      <c r="M80" s="49">
        <v>59.5</v>
      </c>
      <c r="N80" s="49">
        <v>59.5</v>
      </c>
      <c r="O80" s="49">
        <v>59.5</v>
      </c>
      <c r="P80" s="49">
        <v>59.5</v>
      </c>
      <c r="Q80" s="49">
        <v>59.5</v>
      </c>
      <c r="R80" s="49">
        <v>59.5</v>
      </c>
      <c r="S80" s="49">
        <v>0</v>
      </c>
      <c r="T80" s="49">
        <v>0</v>
      </c>
    </row>
    <row r="81" spans="1:20" s="53" customFormat="1" ht="15.75" customHeight="1" x14ac:dyDescent="0.25">
      <c r="A81" s="62">
        <v>2003</v>
      </c>
      <c r="B81" s="50">
        <v>12</v>
      </c>
      <c r="C81" s="51">
        <f t="shared" si="4"/>
        <v>9.1666666666666661</v>
      </c>
      <c r="D81" s="51">
        <f t="shared" si="5"/>
        <v>110</v>
      </c>
      <c r="E81" s="49">
        <v>402.85</v>
      </c>
      <c r="F81" s="49">
        <f t="shared" si="6"/>
        <v>43.947272727272733</v>
      </c>
      <c r="G81" s="52">
        <f t="shared" si="7"/>
        <v>2.2754540565140043E-2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55</v>
      </c>
      <c r="T81" s="49">
        <v>55</v>
      </c>
    </row>
    <row r="82" spans="1:20" s="53" customFormat="1" ht="15.75" customHeight="1" x14ac:dyDescent="0.25">
      <c r="A82" s="62">
        <v>2004</v>
      </c>
      <c r="B82" s="50">
        <v>12</v>
      </c>
      <c r="C82" s="51">
        <f t="shared" si="4"/>
        <v>9.1666666666666661</v>
      </c>
      <c r="D82" s="51">
        <f t="shared" si="5"/>
        <v>110</v>
      </c>
      <c r="E82" s="49">
        <v>402.85</v>
      </c>
      <c r="F82" s="49">
        <f t="shared" si="6"/>
        <v>43.947272727272733</v>
      </c>
      <c r="G82" s="52">
        <f t="shared" si="7"/>
        <v>2.2754540565140043E-2</v>
      </c>
      <c r="I82" s="49">
        <v>55</v>
      </c>
      <c r="J82" s="49">
        <v>55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62">
        <v>2005</v>
      </c>
      <c r="B83" s="50">
        <v>12</v>
      </c>
      <c r="C83" s="51">
        <f t="shared" si="4"/>
        <v>48.833333333333336</v>
      </c>
      <c r="D83" s="51">
        <f t="shared" si="5"/>
        <v>586</v>
      </c>
      <c r="E83" s="49">
        <v>402.85</v>
      </c>
      <c r="F83" s="49">
        <f t="shared" si="6"/>
        <v>8.2494880546075091</v>
      </c>
      <c r="G83" s="52">
        <f t="shared" si="7"/>
        <v>0.1212196433742915</v>
      </c>
      <c r="I83" s="49">
        <v>0</v>
      </c>
      <c r="J83" s="49">
        <v>0</v>
      </c>
      <c r="K83" s="49">
        <v>59.5</v>
      </c>
      <c r="L83" s="49">
        <v>59.5</v>
      </c>
      <c r="M83" s="49">
        <v>59.5</v>
      </c>
      <c r="N83" s="49">
        <v>59.5</v>
      </c>
      <c r="O83" s="49">
        <v>59.5</v>
      </c>
      <c r="P83" s="49">
        <v>59.5</v>
      </c>
      <c r="Q83" s="49">
        <v>59.5</v>
      </c>
      <c r="R83" s="49">
        <v>59.5</v>
      </c>
      <c r="S83" s="49">
        <v>55</v>
      </c>
      <c r="T83" s="49">
        <v>55</v>
      </c>
    </row>
    <row r="84" spans="1:20" s="53" customFormat="1" ht="15.75" customHeight="1" x14ac:dyDescent="0.25">
      <c r="A84" s="62">
        <v>2006</v>
      </c>
      <c r="B84" s="50">
        <v>12</v>
      </c>
      <c r="C84" s="51">
        <f t="shared" si="4"/>
        <v>0</v>
      </c>
      <c r="D84" s="51">
        <f t="shared" si="5"/>
        <v>0</v>
      </c>
      <c r="E84" s="49">
        <v>402.85</v>
      </c>
      <c r="F84" s="49" t="e">
        <f t="shared" si="6"/>
        <v>#DIV/0!</v>
      </c>
      <c r="G84" s="52">
        <f t="shared" si="7"/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62">
        <v>2007</v>
      </c>
      <c r="B85" s="50">
        <v>12</v>
      </c>
      <c r="C85" s="51">
        <f t="shared" si="4"/>
        <v>13.066666666666668</v>
      </c>
      <c r="D85" s="51">
        <f t="shared" si="5"/>
        <v>156.80000000000001</v>
      </c>
      <c r="E85" s="49">
        <v>402.85</v>
      </c>
      <c r="F85" s="49">
        <f t="shared" si="6"/>
        <v>30.830357142857142</v>
      </c>
      <c r="G85" s="52">
        <f t="shared" si="7"/>
        <v>3.2435563278308717E-2</v>
      </c>
      <c r="I85" s="49">
        <v>0</v>
      </c>
      <c r="J85" s="49">
        <v>0</v>
      </c>
      <c r="K85" s="49">
        <v>0</v>
      </c>
      <c r="L85" s="49">
        <v>0</v>
      </c>
      <c r="M85" s="49">
        <v>156.5</v>
      </c>
      <c r="N85" s="49">
        <v>0</v>
      </c>
      <c r="O85" s="49">
        <v>0</v>
      </c>
      <c r="P85" s="49">
        <v>0.3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62">
        <v>2008</v>
      </c>
      <c r="B86" s="50">
        <v>12</v>
      </c>
      <c r="C86" s="51">
        <f t="shared" si="4"/>
        <v>11.358333333333334</v>
      </c>
      <c r="D86" s="51">
        <f t="shared" si="5"/>
        <v>136.30000000000001</v>
      </c>
      <c r="E86" s="49">
        <v>402.85</v>
      </c>
      <c r="F86" s="49">
        <f t="shared" si="6"/>
        <v>35.467351430667641</v>
      </c>
      <c r="G86" s="52">
        <f t="shared" si="7"/>
        <v>2.8194944354805344E-2</v>
      </c>
      <c r="I86" s="49">
        <v>0</v>
      </c>
      <c r="J86" s="49">
        <v>65.900000000000006</v>
      </c>
      <c r="K86" s="49">
        <v>0.2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65</v>
      </c>
      <c r="S86" s="49">
        <v>2.6</v>
      </c>
      <c r="T86" s="49">
        <v>2.6</v>
      </c>
    </row>
    <row r="87" spans="1:20" s="53" customFormat="1" ht="15.75" customHeight="1" x14ac:dyDescent="0.25">
      <c r="A87" s="62">
        <v>2009</v>
      </c>
      <c r="B87" s="50">
        <v>12</v>
      </c>
      <c r="C87" s="51">
        <f t="shared" si="4"/>
        <v>5.166666666666667</v>
      </c>
      <c r="D87" s="51">
        <f t="shared" si="5"/>
        <v>62</v>
      </c>
      <c r="E87" s="49">
        <v>402.85</v>
      </c>
      <c r="F87" s="49">
        <f t="shared" si="6"/>
        <v>77.970967741935482</v>
      </c>
      <c r="G87" s="52">
        <f t="shared" si="7"/>
        <v>1.2825286500351661E-2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62</v>
      </c>
      <c r="T87" s="49">
        <v>0</v>
      </c>
    </row>
    <row r="88" spans="1:20" s="53" customFormat="1" ht="15.75" customHeight="1" x14ac:dyDescent="0.25">
      <c r="A88" s="62">
        <v>2010</v>
      </c>
      <c r="B88" s="50">
        <v>12</v>
      </c>
      <c r="C88" s="51">
        <f t="shared" si="4"/>
        <v>8.3333333333333332E-3</v>
      </c>
      <c r="D88" s="51">
        <f t="shared" si="5"/>
        <v>0.1</v>
      </c>
      <c r="E88" s="49">
        <v>402.85</v>
      </c>
      <c r="F88" s="49">
        <f t="shared" si="6"/>
        <v>48342</v>
      </c>
      <c r="G88" s="52">
        <f t="shared" si="7"/>
        <v>2.068594596830913E-5</v>
      </c>
      <c r="I88" s="49">
        <v>0.1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62">
        <v>2011</v>
      </c>
      <c r="B89" s="50">
        <v>12</v>
      </c>
      <c r="C89" s="51">
        <f t="shared" ref="C89:C98" si="8">D89/B89</f>
        <v>14.625</v>
      </c>
      <c r="D89" s="51">
        <f t="shared" ref="D89:D98" si="9">SUM(I89:T89)</f>
        <v>175.5</v>
      </c>
      <c r="E89" s="49">
        <v>402.85</v>
      </c>
      <c r="F89" s="49">
        <f t="shared" ref="F89:F98" si="10">E89/C89</f>
        <v>27.545299145299147</v>
      </c>
      <c r="G89" s="52">
        <f t="shared" ref="G89:G98" si="11">C89/E89</f>
        <v>3.6303835174382522E-2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175.5</v>
      </c>
      <c r="T89" s="49">
        <v>0</v>
      </c>
    </row>
    <row r="90" spans="1:20" s="53" customFormat="1" ht="15.75" customHeight="1" x14ac:dyDescent="0.25">
      <c r="A90" s="62">
        <v>2012</v>
      </c>
      <c r="B90" s="50">
        <v>12</v>
      </c>
      <c r="C90" s="51">
        <f t="shared" si="8"/>
        <v>0</v>
      </c>
      <c r="D90" s="51">
        <f t="shared" si="9"/>
        <v>0</v>
      </c>
      <c r="E90" s="49">
        <v>402.85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62">
        <v>2013</v>
      </c>
      <c r="B91" s="50">
        <v>12</v>
      </c>
      <c r="C91" s="51">
        <f t="shared" si="8"/>
        <v>28.858333333333334</v>
      </c>
      <c r="D91" s="51">
        <f t="shared" si="9"/>
        <v>346.3</v>
      </c>
      <c r="E91" s="49">
        <v>402.85</v>
      </c>
      <c r="F91" s="49">
        <f t="shared" si="10"/>
        <v>13.959572624891713</v>
      </c>
      <c r="G91" s="52">
        <f t="shared" si="11"/>
        <v>7.1635430888254512E-2</v>
      </c>
      <c r="I91" s="49">
        <v>193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153.30000000000001</v>
      </c>
    </row>
    <row r="92" spans="1:20" s="53" customFormat="1" ht="15.75" customHeight="1" x14ac:dyDescent="0.25">
      <c r="A92" s="62">
        <v>2014</v>
      </c>
      <c r="B92" s="50">
        <v>12</v>
      </c>
      <c r="C92" s="51">
        <f t="shared" si="8"/>
        <v>9.4166666666666661</v>
      </c>
      <c r="D92" s="51">
        <f t="shared" si="9"/>
        <v>113</v>
      </c>
      <c r="E92" s="49">
        <v>402.85</v>
      </c>
      <c r="F92" s="49">
        <f t="shared" si="10"/>
        <v>42.780530973451334</v>
      </c>
      <c r="G92" s="52">
        <f t="shared" si="11"/>
        <v>2.3375118944189314E-2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55.8</v>
      </c>
      <c r="T92" s="49">
        <v>57.2</v>
      </c>
    </row>
    <row r="93" spans="1:20" s="53" customFormat="1" ht="15.75" customHeight="1" x14ac:dyDescent="0.25">
      <c r="A93" s="62">
        <v>2015</v>
      </c>
      <c r="B93" s="50">
        <v>12</v>
      </c>
      <c r="C93" s="51">
        <f t="shared" si="8"/>
        <v>2.4999999999999998E-2</v>
      </c>
      <c r="D93" s="51">
        <f t="shared" si="9"/>
        <v>0.3</v>
      </c>
      <c r="E93" s="49">
        <v>402.85</v>
      </c>
      <c r="F93" s="49">
        <f t="shared" si="10"/>
        <v>16114.000000000002</v>
      </c>
      <c r="G93" s="52">
        <f t="shared" si="11"/>
        <v>6.2057837904927387E-5</v>
      </c>
      <c r="I93" s="49">
        <v>0.3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62">
        <v>2016</v>
      </c>
      <c r="B94" s="50">
        <v>12</v>
      </c>
      <c r="C94" s="51">
        <f t="shared" si="8"/>
        <v>7.5375000000000005</v>
      </c>
      <c r="D94" s="51">
        <f t="shared" si="9"/>
        <v>90.45</v>
      </c>
      <c r="E94" s="49">
        <v>402.85</v>
      </c>
      <c r="F94" s="49">
        <f t="shared" si="10"/>
        <v>53.446102819237147</v>
      </c>
      <c r="G94" s="52">
        <f t="shared" si="11"/>
        <v>1.8710438128335609E-2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90.45</v>
      </c>
      <c r="S94" s="49">
        <v>0</v>
      </c>
      <c r="T94" s="49">
        <v>0</v>
      </c>
    </row>
    <row r="95" spans="1:20" s="53" customFormat="1" ht="15.75" customHeight="1" x14ac:dyDescent="0.25">
      <c r="A95" s="62">
        <v>2017</v>
      </c>
      <c r="B95" s="50">
        <v>12</v>
      </c>
      <c r="C95" s="51">
        <f t="shared" si="8"/>
        <v>3.5500000000000003</v>
      </c>
      <c r="D95" s="51">
        <f t="shared" si="9"/>
        <v>42.6</v>
      </c>
      <c r="E95" s="49">
        <v>402.85</v>
      </c>
      <c r="F95" s="49">
        <f t="shared" si="10"/>
        <v>113.47887323943662</v>
      </c>
      <c r="G95" s="52">
        <f t="shared" si="11"/>
        <v>8.8122129824996891E-3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42.6</v>
      </c>
      <c r="T95" s="49">
        <v>0</v>
      </c>
    </row>
    <row r="96" spans="1:20" s="53" customFormat="1" ht="15.75" customHeight="1" x14ac:dyDescent="0.25">
      <c r="A96" s="62">
        <v>2018</v>
      </c>
      <c r="B96" s="50">
        <v>12</v>
      </c>
      <c r="C96" s="51">
        <f t="shared" si="8"/>
        <v>5.6416666666666666</v>
      </c>
      <c r="D96" s="51">
        <f t="shared" si="9"/>
        <v>67.7</v>
      </c>
      <c r="E96" s="49">
        <v>402.85</v>
      </c>
      <c r="F96" s="49">
        <f t="shared" si="10"/>
        <v>71.406203840472685</v>
      </c>
      <c r="G96" s="52">
        <f t="shared" si="11"/>
        <v>1.400438542054528E-2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67.7</v>
      </c>
    </row>
    <row r="97" spans="1:20" s="53" customFormat="1" ht="15.75" customHeight="1" x14ac:dyDescent="0.25">
      <c r="A97" s="62">
        <v>2019</v>
      </c>
      <c r="B97" s="50">
        <v>12</v>
      </c>
      <c r="C97" s="51">
        <f t="shared" si="8"/>
        <v>5.333333333333333</v>
      </c>
      <c r="D97" s="51">
        <f t="shared" si="9"/>
        <v>64</v>
      </c>
      <c r="E97" s="49">
        <v>402.85</v>
      </c>
      <c r="F97" s="49">
        <f t="shared" si="10"/>
        <v>75.534375000000011</v>
      </c>
      <c r="G97" s="52">
        <f t="shared" si="11"/>
        <v>1.3239005419717842E-2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64</v>
      </c>
      <c r="T97" s="49">
        <v>0</v>
      </c>
    </row>
    <row r="98" spans="1:20" s="53" customFormat="1" ht="15.75" customHeight="1" x14ac:dyDescent="0.25">
      <c r="A98" s="62">
        <v>2020</v>
      </c>
      <c r="B98" s="50">
        <v>12</v>
      </c>
      <c r="C98" s="51">
        <f t="shared" si="8"/>
        <v>7.291666666666667</v>
      </c>
      <c r="D98" s="51">
        <f t="shared" si="9"/>
        <v>87.5</v>
      </c>
      <c r="E98" s="49">
        <v>402.85</v>
      </c>
      <c r="F98" s="49">
        <f t="shared" si="10"/>
        <v>55.247999999999998</v>
      </c>
      <c r="G98" s="52">
        <f t="shared" si="11"/>
        <v>1.8100202722270489E-2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87.5</v>
      </c>
      <c r="T98" s="49">
        <v>0</v>
      </c>
    </row>
    <row r="99" spans="1:20" ht="15.75" customHeight="1" x14ac:dyDescent="0.25">
      <c r="A99" s="62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402.85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62">
        <v>2022</v>
      </c>
      <c r="B100" s="50">
        <v>12</v>
      </c>
      <c r="C100" s="51">
        <f t="shared" ref="C100" si="16">D100/B100</f>
        <v>3.3583333333333329</v>
      </c>
      <c r="D100" s="51">
        <f t="shared" ref="D100" si="17">SUM(I100:T100)</f>
        <v>40.299999999999997</v>
      </c>
      <c r="E100" s="49">
        <v>402.85</v>
      </c>
      <c r="F100" s="49">
        <f t="shared" ref="F100" si="18">E100/C100</f>
        <v>119.95533498759308</v>
      </c>
      <c r="G100" s="52">
        <f t="shared" ref="G100" si="19">C100/E100</f>
        <v>8.336436225228578E-3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54">
        <v>40.299999999999997</v>
      </c>
    </row>
    <row r="101" spans="1:20" ht="15.75" customHeight="1" x14ac:dyDescent="0.25">
      <c r="A101" s="62">
        <v>2023</v>
      </c>
      <c r="B101" s="50">
        <v>12</v>
      </c>
      <c r="C101" s="51">
        <f t="shared" ref="C101" si="20">D101/B101</f>
        <v>0</v>
      </c>
      <c r="D101" s="51">
        <f t="shared" ref="D101" si="21">SUM(I101:T101)</f>
        <v>0</v>
      </c>
      <c r="E101" s="49">
        <v>402.85</v>
      </c>
      <c r="F101" s="49" t="e">
        <f t="shared" ref="F101" si="22">E101/C101</f>
        <v>#DIV/0!</v>
      </c>
      <c r="G101" s="52">
        <f t="shared" ref="G101" si="23">C101/E101</f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62">
        <v>2024</v>
      </c>
      <c r="B102" s="50">
        <v>12</v>
      </c>
      <c r="C102" s="51">
        <f t="shared" ref="C102" si="24">D102/B102</f>
        <v>4.1870519713261656</v>
      </c>
      <c r="D102" s="51">
        <f t="shared" ref="D102" si="25">SUM(I102:T102)</f>
        <v>50.244623655913983</v>
      </c>
      <c r="E102" s="49">
        <v>402.85</v>
      </c>
      <c r="F102" s="49">
        <f t="shared" ref="F102" si="26">E102/C102</f>
        <v>96.21327911829222</v>
      </c>
      <c r="G102" s="52">
        <f t="shared" ref="G102" si="27">C102/E102</f>
        <v>1.0393575701442635E-2</v>
      </c>
      <c r="I102" s="49">
        <v>0</v>
      </c>
      <c r="J102" s="49">
        <v>0</v>
      </c>
      <c r="K102" s="49">
        <v>45.161290322580648</v>
      </c>
      <c r="L102" s="49">
        <v>5.083333333333333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62">
        <v>2025</v>
      </c>
      <c r="B103" s="50">
        <v>12</v>
      </c>
      <c r="C103" s="51">
        <f t="shared" ref="C103" si="28">D103/B103</f>
        <v>6.2833333333333341</v>
      </c>
      <c r="D103" s="51">
        <f t="shared" ref="D103" si="29">SUM(I103:T103)</f>
        <v>75.400000000000006</v>
      </c>
      <c r="E103" s="49">
        <v>402.85</v>
      </c>
      <c r="F103" s="49">
        <f t="shared" ref="F103" si="30">E103/C103</f>
        <v>64.114058355437663</v>
      </c>
      <c r="G103" s="52">
        <f t="shared" ref="G103" si="31">C103/E103</f>
        <v>1.5597203260105085E-2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75.400000000000006</v>
      </c>
      <c r="T103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103"/>
  <sheetViews>
    <sheetView zoomScale="80" zoomScaleNormal="80" workbookViewId="0">
      <pane ySplit="1440" topLeftCell="A67" activePane="bottomLeft"/>
      <selection sqref="A1:XFD1048576"/>
      <selection pane="bottomLeft" activeCell="A103" sqref="A103:XFD103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" style="56" customWidth="1"/>
    <col min="18" max="18" width="10" style="56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2" ht="15" x14ac:dyDescent="0.25">
      <c r="A1" s="120" t="s">
        <v>40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2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2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2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2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2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2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2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2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2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2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24.5</v>
      </c>
      <c r="D64" s="51">
        <f t="shared" si="1"/>
        <v>294</v>
      </c>
      <c r="E64" s="49">
        <v>2098.66</v>
      </c>
      <c r="F64" s="49">
        <f t="shared" si="2"/>
        <v>85.659591836734691</v>
      </c>
      <c r="G64" s="52">
        <f t="shared" si="3"/>
        <v>1.1674115864408719E-2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1987</v>
      </c>
      <c r="B65" s="50">
        <v>12</v>
      </c>
      <c r="C65" s="51">
        <f t="shared" si="0"/>
        <v>0</v>
      </c>
      <c r="D65" s="51">
        <f t="shared" si="1"/>
        <v>0</v>
      </c>
      <c r="E65" s="49">
        <v>1664.81</v>
      </c>
      <c r="F65" s="49" t="e">
        <f t="shared" si="2"/>
        <v>#DIV/0!</v>
      </c>
      <c r="G65" s="52">
        <f t="shared" si="3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V65" s="48"/>
    </row>
    <row r="66" spans="1:22" s="53" customFormat="1" ht="15.75" customHeight="1" x14ac:dyDescent="0.25">
      <c r="A66" s="50">
        <v>1988</v>
      </c>
      <c r="B66" s="50">
        <v>12</v>
      </c>
      <c r="C66" s="51">
        <f t="shared" si="0"/>
        <v>3.75</v>
      </c>
      <c r="D66" s="51">
        <f t="shared" si="1"/>
        <v>45</v>
      </c>
      <c r="E66" s="49">
        <v>1664.81</v>
      </c>
      <c r="F66" s="49">
        <f t="shared" si="2"/>
        <v>443.9493333333333</v>
      </c>
      <c r="G66" s="52">
        <f t="shared" si="3"/>
        <v>2.2525092953550258E-3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22.5</v>
      </c>
      <c r="T66" s="49">
        <v>22.5</v>
      </c>
    </row>
    <row r="67" spans="1:22" s="53" customFormat="1" ht="15.75" customHeight="1" x14ac:dyDescent="0.25">
      <c r="A67" s="50">
        <v>1989</v>
      </c>
      <c r="B67" s="50">
        <v>12</v>
      </c>
      <c r="C67" s="51">
        <f t="shared" si="0"/>
        <v>27.5</v>
      </c>
      <c r="D67" s="51">
        <f t="shared" si="1"/>
        <v>330</v>
      </c>
      <c r="E67" s="49">
        <v>1664.81</v>
      </c>
      <c r="F67" s="49">
        <f t="shared" si="2"/>
        <v>60.538545454545449</v>
      </c>
      <c r="G67" s="52">
        <f t="shared" si="3"/>
        <v>1.6518401499270186E-2</v>
      </c>
      <c r="I67" s="49">
        <v>22.5</v>
      </c>
      <c r="J67" s="49">
        <v>22.5</v>
      </c>
      <c r="K67" s="49">
        <v>30</v>
      </c>
      <c r="L67" s="49">
        <v>30</v>
      </c>
      <c r="M67" s="49">
        <v>30</v>
      </c>
      <c r="N67" s="49">
        <v>30</v>
      </c>
      <c r="O67" s="49">
        <v>30</v>
      </c>
      <c r="P67" s="49">
        <v>30</v>
      </c>
      <c r="Q67" s="49">
        <v>30</v>
      </c>
      <c r="R67" s="49">
        <v>30</v>
      </c>
      <c r="S67" s="49">
        <v>22.5</v>
      </c>
      <c r="T67" s="49">
        <v>22.5</v>
      </c>
    </row>
    <row r="68" spans="1:22" s="53" customFormat="1" ht="15.75" customHeight="1" x14ac:dyDescent="0.25">
      <c r="A68" s="50">
        <v>1990</v>
      </c>
      <c r="B68" s="50">
        <v>12</v>
      </c>
      <c r="C68" s="51">
        <f t="shared" ref="C68:C88" si="4">D68/B68</f>
        <v>7.5</v>
      </c>
      <c r="D68" s="51">
        <f t="shared" ref="D68:D88" si="5">SUM(I68:T68)</f>
        <v>90</v>
      </c>
      <c r="E68" s="49">
        <v>1664.81</v>
      </c>
      <c r="F68" s="49">
        <f t="shared" ref="F68:F88" si="6">E68/C68</f>
        <v>221.97466666666665</v>
      </c>
      <c r="G68" s="52">
        <f t="shared" ref="G68:G88" si="7">C68/E68</f>
        <v>4.5050185907100516E-3</v>
      </c>
      <c r="I68" s="49">
        <v>22.5</v>
      </c>
      <c r="J68" s="49">
        <v>22.5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22.5</v>
      </c>
      <c r="T68" s="49">
        <v>22.5</v>
      </c>
    </row>
    <row r="69" spans="1:22" s="53" customFormat="1" ht="15.75" customHeight="1" x14ac:dyDescent="0.25">
      <c r="A69" s="50">
        <v>1991</v>
      </c>
      <c r="B69" s="50">
        <v>12</v>
      </c>
      <c r="C69" s="51">
        <f t="shared" si="4"/>
        <v>10</v>
      </c>
      <c r="D69" s="51">
        <f t="shared" si="5"/>
        <v>120</v>
      </c>
      <c r="E69" s="49">
        <v>1664.81</v>
      </c>
      <c r="F69" s="49">
        <f t="shared" si="6"/>
        <v>166.48099999999999</v>
      </c>
      <c r="G69" s="52">
        <f t="shared" si="7"/>
        <v>6.0066914542800682E-3</v>
      </c>
      <c r="I69" s="49">
        <v>22.5</v>
      </c>
      <c r="J69" s="49">
        <v>22.5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37.5</v>
      </c>
      <c r="T69" s="49">
        <v>37.5</v>
      </c>
    </row>
    <row r="70" spans="1:22" s="53" customFormat="1" ht="15.75" customHeight="1" x14ac:dyDescent="0.25">
      <c r="A70" s="50">
        <v>1992</v>
      </c>
      <c r="B70" s="50">
        <v>12</v>
      </c>
      <c r="C70" s="51">
        <f t="shared" si="4"/>
        <v>11.5</v>
      </c>
      <c r="D70" s="51">
        <f t="shared" si="5"/>
        <v>138</v>
      </c>
      <c r="E70" s="49">
        <v>1664.81</v>
      </c>
      <c r="F70" s="49">
        <f t="shared" si="6"/>
        <v>144.76608695652175</v>
      </c>
      <c r="G70" s="52">
        <f t="shared" si="7"/>
        <v>6.9076951724220785E-3</v>
      </c>
      <c r="I70" s="49">
        <v>37.5</v>
      </c>
      <c r="J70" s="49">
        <v>37.5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31.5</v>
      </c>
      <c r="T70" s="49">
        <v>31.5</v>
      </c>
    </row>
    <row r="71" spans="1:22" s="53" customFormat="1" ht="15.75" customHeight="1" x14ac:dyDescent="0.25">
      <c r="A71" s="50">
        <v>1993</v>
      </c>
      <c r="B71" s="50">
        <v>12</v>
      </c>
      <c r="C71" s="51">
        <f t="shared" si="4"/>
        <v>12.5</v>
      </c>
      <c r="D71" s="51">
        <f t="shared" si="5"/>
        <v>150</v>
      </c>
      <c r="E71" s="49">
        <v>1664.81</v>
      </c>
      <c r="F71" s="49">
        <f t="shared" si="6"/>
        <v>133.1848</v>
      </c>
      <c r="G71" s="52">
        <f t="shared" si="7"/>
        <v>7.5083643178500857E-3</v>
      </c>
      <c r="I71" s="49">
        <v>31.5</v>
      </c>
      <c r="J71" s="49">
        <v>31.5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43.5</v>
      </c>
      <c r="T71" s="49">
        <v>43.5</v>
      </c>
    </row>
    <row r="72" spans="1:22" s="53" customFormat="1" ht="15.75" customHeight="1" x14ac:dyDescent="0.25">
      <c r="A72" s="50">
        <v>1994</v>
      </c>
      <c r="B72" s="50">
        <v>12</v>
      </c>
      <c r="C72" s="51">
        <f t="shared" si="4"/>
        <v>26.75</v>
      </c>
      <c r="D72" s="51">
        <f t="shared" si="5"/>
        <v>321</v>
      </c>
      <c r="E72" s="49">
        <v>1664.81</v>
      </c>
      <c r="F72" s="49">
        <f t="shared" si="6"/>
        <v>62.235887850467286</v>
      </c>
      <c r="G72" s="52">
        <f t="shared" si="7"/>
        <v>1.6067899640199182E-2</v>
      </c>
      <c r="I72" s="49">
        <v>43.5</v>
      </c>
      <c r="J72" s="49">
        <v>43.5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51</v>
      </c>
      <c r="T72" s="49">
        <v>51</v>
      </c>
    </row>
    <row r="73" spans="1:22" s="53" customFormat="1" ht="15.75" customHeight="1" x14ac:dyDescent="0.25">
      <c r="A73" s="50">
        <v>1995</v>
      </c>
      <c r="B73" s="50">
        <v>12</v>
      </c>
      <c r="C73" s="51">
        <f t="shared" si="4"/>
        <v>32.25</v>
      </c>
      <c r="D73" s="51">
        <f t="shared" si="5"/>
        <v>387</v>
      </c>
      <c r="E73" s="49">
        <v>1664.81</v>
      </c>
      <c r="F73" s="49">
        <f t="shared" si="6"/>
        <v>51.622015503875964</v>
      </c>
      <c r="G73" s="52">
        <f t="shared" si="7"/>
        <v>1.9371579940053219E-2</v>
      </c>
      <c r="I73" s="49">
        <v>51</v>
      </c>
      <c r="J73" s="49">
        <v>51</v>
      </c>
      <c r="K73" s="49">
        <v>22.5</v>
      </c>
      <c r="L73" s="49">
        <v>22.5</v>
      </c>
      <c r="M73" s="49">
        <v>22.5</v>
      </c>
      <c r="N73" s="49">
        <v>22.5</v>
      </c>
      <c r="O73" s="49">
        <v>22.5</v>
      </c>
      <c r="P73" s="49">
        <v>22.5</v>
      </c>
      <c r="Q73" s="49">
        <v>22.5</v>
      </c>
      <c r="R73" s="49">
        <v>22.5</v>
      </c>
      <c r="S73" s="49">
        <v>52.5</v>
      </c>
      <c r="T73" s="49">
        <v>52.5</v>
      </c>
    </row>
    <row r="74" spans="1:22" s="53" customFormat="1" ht="15.75" customHeight="1" x14ac:dyDescent="0.25">
      <c r="A74" s="50">
        <v>1996</v>
      </c>
      <c r="B74" s="50">
        <v>12</v>
      </c>
      <c r="C74" s="51">
        <f t="shared" si="4"/>
        <v>24.75</v>
      </c>
      <c r="D74" s="51">
        <f t="shared" si="5"/>
        <v>297</v>
      </c>
      <c r="E74" s="49">
        <v>1664.81</v>
      </c>
      <c r="F74" s="49">
        <f t="shared" si="6"/>
        <v>67.265050505050496</v>
      </c>
      <c r="G74" s="52">
        <f t="shared" si="7"/>
        <v>1.4866561349343169E-2</v>
      </c>
      <c r="I74" s="49">
        <v>52.5</v>
      </c>
      <c r="J74" s="49">
        <v>52.5</v>
      </c>
      <c r="K74" s="49">
        <v>24</v>
      </c>
      <c r="L74" s="49">
        <v>24</v>
      </c>
      <c r="M74" s="49">
        <v>24</v>
      </c>
      <c r="N74" s="49">
        <v>24</v>
      </c>
      <c r="O74" s="49">
        <v>24</v>
      </c>
      <c r="P74" s="49">
        <v>24</v>
      </c>
      <c r="Q74" s="49">
        <v>24</v>
      </c>
      <c r="R74" s="49">
        <v>24</v>
      </c>
      <c r="S74" s="49">
        <v>0</v>
      </c>
      <c r="T74" s="49">
        <v>0</v>
      </c>
    </row>
    <row r="75" spans="1:22" s="53" customFormat="1" ht="15.75" customHeight="1" x14ac:dyDescent="0.25">
      <c r="A75" s="50">
        <v>1997</v>
      </c>
      <c r="B75" s="50">
        <v>12</v>
      </c>
      <c r="C75" s="51">
        <f t="shared" si="4"/>
        <v>0</v>
      </c>
      <c r="D75" s="51">
        <f t="shared" si="5"/>
        <v>0</v>
      </c>
      <c r="E75" s="49">
        <v>1664.81</v>
      </c>
      <c r="F75" s="49" t="e">
        <f t="shared" si="6"/>
        <v>#DIV/0!</v>
      </c>
      <c r="G75" s="52">
        <f t="shared" si="7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2" s="53" customFormat="1" ht="15.75" customHeight="1" x14ac:dyDescent="0.25">
      <c r="A76" s="50">
        <v>1998</v>
      </c>
      <c r="B76" s="50">
        <v>12</v>
      </c>
      <c r="C76" s="51">
        <f t="shared" si="4"/>
        <v>0</v>
      </c>
      <c r="D76" s="51">
        <f t="shared" si="5"/>
        <v>0</v>
      </c>
      <c r="E76" s="49">
        <v>1664.81</v>
      </c>
      <c r="F76" s="49" t="e">
        <f t="shared" si="6"/>
        <v>#DIV/0!</v>
      </c>
      <c r="G76" s="52">
        <f t="shared" si="7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1999</v>
      </c>
      <c r="B77" s="50">
        <v>12</v>
      </c>
      <c r="C77" s="51">
        <f t="shared" si="4"/>
        <v>2.75</v>
      </c>
      <c r="D77" s="51">
        <f t="shared" si="5"/>
        <v>33</v>
      </c>
      <c r="E77" s="49">
        <v>1664.81</v>
      </c>
      <c r="F77" s="49">
        <f t="shared" si="6"/>
        <v>605.38545454545454</v>
      </c>
      <c r="G77" s="52">
        <f t="shared" si="7"/>
        <v>1.6518401499270188E-3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16.5</v>
      </c>
      <c r="T77" s="49">
        <v>16.5</v>
      </c>
    </row>
    <row r="78" spans="1:22" s="53" customFormat="1" ht="15.75" customHeight="1" x14ac:dyDescent="0.25">
      <c r="A78" s="50">
        <v>2000</v>
      </c>
      <c r="B78" s="50">
        <v>12</v>
      </c>
      <c r="C78" s="51">
        <f t="shared" si="4"/>
        <v>9</v>
      </c>
      <c r="D78" s="51">
        <f t="shared" si="5"/>
        <v>108</v>
      </c>
      <c r="E78" s="49">
        <v>1664.81</v>
      </c>
      <c r="F78" s="49">
        <f t="shared" si="6"/>
        <v>184.97888888888889</v>
      </c>
      <c r="G78" s="52">
        <f t="shared" si="7"/>
        <v>5.406022308852061E-3</v>
      </c>
      <c r="I78" s="49">
        <v>16.5</v>
      </c>
      <c r="J78" s="49">
        <v>16.5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37.5</v>
      </c>
      <c r="T78" s="49">
        <v>37.5</v>
      </c>
    </row>
    <row r="79" spans="1:22" s="53" customFormat="1" ht="15.75" customHeight="1" x14ac:dyDescent="0.25">
      <c r="A79" s="50">
        <v>2001</v>
      </c>
      <c r="B79" s="50">
        <v>12</v>
      </c>
      <c r="C79" s="51">
        <f t="shared" si="4"/>
        <v>34.25</v>
      </c>
      <c r="D79" s="51">
        <f t="shared" si="5"/>
        <v>411</v>
      </c>
      <c r="E79" s="49">
        <v>1664.81</v>
      </c>
      <c r="F79" s="49">
        <f t="shared" si="6"/>
        <v>48.607591240875912</v>
      </c>
      <c r="G79" s="52">
        <f t="shared" si="7"/>
        <v>2.0572918230909235E-2</v>
      </c>
      <c r="I79" s="49">
        <v>37.5</v>
      </c>
      <c r="J79" s="49">
        <v>37.5</v>
      </c>
      <c r="K79" s="49">
        <v>37.5</v>
      </c>
      <c r="L79" s="49">
        <v>37.5</v>
      </c>
      <c r="M79" s="49">
        <v>37.5</v>
      </c>
      <c r="N79" s="49">
        <v>37.5</v>
      </c>
      <c r="O79" s="49">
        <v>37.5</v>
      </c>
      <c r="P79" s="49">
        <v>37.5</v>
      </c>
      <c r="Q79" s="49">
        <v>37.5</v>
      </c>
      <c r="R79" s="49">
        <v>37.5</v>
      </c>
      <c r="S79" s="49">
        <v>18</v>
      </c>
      <c r="T79" s="49">
        <v>18</v>
      </c>
    </row>
    <row r="80" spans="1:22" s="53" customFormat="1" ht="15.75" customHeight="1" x14ac:dyDescent="0.25">
      <c r="A80" s="50">
        <v>2002</v>
      </c>
      <c r="B80" s="50">
        <v>12</v>
      </c>
      <c r="C80" s="51">
        <f t="shared" si="4"/>
        <v>15</v>
      </c>
      <c r="D80" s="51">
        <f t="shared" si="5"/>
        <v>180</v>
      </c>
      <c r="E80" s="49">
        <v>1664.81</v>
      </c>
      <c r="F80" s="49">
        <f t="shared" si="6"/>
        <v>110.98733333333332</v>
      </c>
      <c r="G80" s="52">
        <f t="shared" si="7"/>
        <v>9.0100371814201032E-3</v>
      </c>
      <c r="I80" s="49">
        <v>18</v>
      </c>
      <c r="J80" s="49">
        <v>18</v>
      </c>
      <c r="K80" s="49">
        <v>18</v>
      </c>
      <c r="L80" s="49">
        <v>18</v>
      </c>
      <c r="M80" s="49">
        <v>18</v>
      </c>
      <c r="N80" s="49">
        <v>18</v>
      </c>
      <c r="O80" s="49">
        <v>18</v>
      </c>
      <c r="P80" s="49">
        <v>18</v>
      </c>
      <c r="Q80" s="49">
        <v>18</v>
      </c>
      <c r="R80" s="49">
        <v>18</v>
      </c>
      <c r="S80" s="49">
        <v>0</v>
      </c>
      <c r="T80" s="49">
        <v>0</v>
      </c>
    </row>
    <row r="81" spans="1:22" s="53" customFormat="1" ht="15.75" customHeight="1" x14ac:dyDescent="0.25">
      <c r="A81" s="50">
        <v>2003</v>
      </c>
      <c r="B81" s="50">
        <v>12</v>
      </c>
      <c r="C81" s="51">
        <f t="shared" si="4"/>
        <v>9</v>
      </c>
      <c r="D81" s="51">
        <f t="shared" si="5"/>
        <v>108</v>
      </c>
      <c r="E81" s="49">
        <v>1664.81</v>
      </c>
      <c r="F81" s="49">
        <f t="shared" si="6"/>
        <v>184.97888888888889</v>
      </c>
      <c r="G81" s="52">
        <f t="shared" si="7"/>
        <v>5.406022308852061E-3</v>
      </c>
      <c r="I81" s="49">
        <v>0</v>
      </c>
      <c r="J81" s="49">
        <v>0</v>
      </c>
      <c r="K81" s="49">
        <v>0</v>
      </c>
      <c r="L81" s="49">
        <v>0</v>
      </c>
      <c r="M81" s="49">
        <v>18</v>
      </c>
      <c r="N81" s="49">
        <v>18</v>
      </c>
      <c r="O81" s="49">
        <v>18</v>
      </c>
      <c r="P81" s="49">
        <v>18</v>
      </c>
      <c r="Q81" s="49">
        <v>18</v>
      </c>
      <c r="R81" s="49">
        <v>18</v>
      </c>
      <c r="S81" s="49">
        <v>0</v>
      </c>
      <c r="T81" s="49">
        <v>0</v>
      </c>
    </row>
    <row r="82" spans="1:22" s="53" customFormat="1" ht="15.75" customHeight="1" x14ac:dyDescent="0.25">
      <c r="A82" s="50">
        <v>2004</v>
      </c>
      <c r="B82" s="50">
        <v>12</v>
      </c>
      <c r="C82" s="51">
        <f t="shared" si="4"/>
        <v>22.333333333333332</v>
      </c>
      <c r="D82" s="51">
        <f t="shared" si="5"/>
        <v>268</v>
      </c>
      <c r="E82" s="49">
        <v>1664.81</v>
      </c>
      <c r="F82" s="49">
        <f t="shared" si="6"/>
        <v>74.543731343283582</v>
      </c>
      <c r="G82" s="52">
        <f t="shared" si="7"/>
        <v>1.3414944247892151E-2</v>
      </c>
      <c r="I82" s="49">
        <v>0</v>
      </c>
      <c r="J82" s="49">
        <v>0</v>
      </c>
      <c r="K82" s="49">
        <v>20</v>
      </c>
      <c r="L82" s="49">
        <v>20</v>
      </c>
      <c r="M82" s="49">
        <v>38</v>
      </c>
      <c r="N82" s="49">
        <v>38</v>
      </c>
      <c r="O82" s="49">
        <v>38</v>
      </c>
      <c r="P82" s="49">
        <v>38</v>
      </c>
      <c r="Q82" s="49">
        <v>38</v>
      </c>
      <c r="R82" s="49">
        <v>38</v>
      </c>
      <c r="S82" s="49">
        <v>0</v>
      </c>
      <c r="T82" s="49">
        <v>0</v>
      </c>
    </row>
    <row r="83" spans="1:22" s="53" customFormat="1" ht="15.75" customHeight="1" x14ac:dyDescent="0.25">
      <c r="A83" s="50">
        <v>2005</v>
      </c>
      <c r="B83" s="50">
        <v>12</v>
      </c>
      <c r="C83" s="51">
        <f t="shared" si="4"/>
        <v>16.666666666666668</v>
      </c>
      <c r="D83" s="51">
        <f t="shared" si="5"/>
        <v>200</v>
      </c>
      <c r="E83" s="49">
        <v>1664.81</v>
      </c>
      <c r="F83" s="49">
        <f t="shared" si="6"/>
        <v>99.888599999999997</v>
      </c>
      <c r="G83" s="52">
        <f t="shared" si="7"/>
        <v>1.0011152423800114E-2</v>
      </c>
      <c r="I83" s="49">
        <v>0</v>
      </c>
      <c r="J83" s="49">
        <v>0</v>
      </c>
      <c r="K83" s="49">
        <v>20</v>
      </c>
      <c r="L83" s="49">
        <v>20</v>
      </c>
      <c r="M83" s="49">
        <v>20</v>
      </c>
      <c r="N83" s="49">
        <v>20</v>
      </c>
      <c r="O83" s="49">
        <v>20</v>
      </c>
      <c r="P83" s="49">
        <v>20</v>
      </c>
      <c r="Q83" s="49">
        <v>20</v>
      </c>
      <c r="R83" s="49">
        <v>20</v>
      </c>
      <c r="S83" s="49">
        <v>20</v>
      </c>
      <c r="T83" s="49">
        <v>20</v>
      </c>
    </row>
    <row r="84" spans="1:22" s="53" customFormat="1" ht="15.75" customHeight="1" x14ac:dyDescent="0.25">
      <c r="A84" s="50">
        <v>2006</v>
      </c>
      <c r="B84" s="50">
        <v>12</v>
      </c>
      <c r="C84" s="51">
        <f t="shared" si="4"/>
        <v>17.541666666666668</v>
      </c>
      <c r="D84" s="51">
        <f t="shared" si="5"/>
        <v>210.5</v>
      </c>
      <c r="E84" s="49">
        <v>1664.81</v>
      </c>
      <c r="F84" s="49">
        <f t="shared" si="6"/>
        <v>94.906033254156753</v>
      </c>
      <c r="G84" s="52">
        <f t="shared" si="7"/>
        <v>1.053673792604962E-2</v>
      </c>
      <c r="I84" s="49">
        <v>20</v>
      </c>
      <c r="J84" s="49">
        <v>20</v>
      </c>
      <c r="K84" s="49">
        <v>21.5</v>
      </c>
      <c r="L84" s="49">
        <v>21.5</v>
      </c>
      <c r="M84" s="49">
        <v>21.5</v>
      </c>
      <c r="N84" s="49">
        <v>21.5</v>
      </c>
      <c r="O84" s="49">
        <v>21.5</v>
      </c>
      <c r="P84" s="49">
        <v>21.5</v>
      </c>
      <c r="Q84" s="49">
        <v>21.5</v>
      </c>
      <c r="R84" s="49">
        <v>20</v>
      </c>
      <c r="S84" s="49">
        <v>0</v>
      </c>
      <c r="T84" s="49">
        <v>0</v>
      </c>
    </row>
    <row r="85" spans="1:22" s="53" customFormat="1" ht="15.75" customHeight="1" x14ac:dyDescent="0.25">
      <c r="A85" s="50">
        <v>2007</v>
      </c>
      <c r="B85" s="50">
        <v>12</v>
      </c>
      <c r="C85" s="51">
        <f t="shared" si="4"/>
        <v>13.9</v>
      </c>
      <c r="D85" s="51">
        <f t="shared" si="5"/>
        <v>166.8</v>
      </c>
      <c r="E85" s="49">
        <v>1664.81</v>
      </c>
      <c r="F85" s="49">
        <f t="shared" si="6"/>
        <v>119.7705035971223</v>
      </c>
      <c r="G85" s="52">
        <f t="shared" si="7"/>
        <v>8.349301121449295E-3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0.3</v>
      </c>
      <c r="P85" s="49">
        <v>162.19999999999999</v>
      </c>
      <c r="Q85" s="49">
        <v>4.3</v>
      </c>
      <c r="R85" s="49">
        <v>0</v>
      </c>
      <c r="S85" s="49">
        <v>0</v>
      </c>
      <c r="T85" s="49">
        <v>0</v>
      </c>
    </row>
    <row r="86" spans="1:22" s="53" customFormat="1" ht="15.75" customHeight="1" x14ac:dyDescent="0.25">
      <c r="A86" s="50">
        <v>2008</v>
      </c>
      <c r="B86" s="50">
        <v>12</v>
      </c>
      <c r="C86" s="51">
        <f t="shared" si="4"/>
        <v>24.983333333333334</v>
      </c>
      <c r="D86" s="51">
        <f t="shared" si="5"/>
        <v>299.8</v>
      </c>
      <c r="E86" s="49">
        <v>1664.81</v>
      </c>
      <c r="F86" s="49">
        <f t="shared" si="6"/>
        <v>66.636824549699796</v>
      </c>
      <c r="G86" s="52">
        <f t="shared" si="7"/>
        <v>1.5006717483276371E-2</v>
      </c>
      <c r="I86" s="49">
        <v>0</v>
      </c>
      <c r="J86" s="49">
        <v>0</v>
      </c>
      <c r="K86" s="49">
        <v>0.1</v>
      </c>
      <c r="L86" s="49">
        <v>0</v>
      </c>
      <c r="M86" s="49">
        <v>299.7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2" s="53" customFormat="1" ht="15.75" customHeight="1" x14ac:dyDescent="0.25">
      <c r="A87" s="50">
        <v>2009</v>
      </c>
      <c r="B87" s="50">
        <v>12</v>
      </c>
      <c r="C87" s="51">
        <f t="shared" si="4"/>
        <v>38.208333333333336</v>
      </c>
      <c r="D87" s="51">
        <f t="shared" si="5"/>
        <v>458.5</v>
      </c>
      <c r="E87" s="49">
        <v>1664.81</v>
      </c>
      <c r="F87" s="49">
        <f t="shared" si="6"/>
        <v>43.571908396946561</v>
      </c>
      <c r="G87" s="52">
        <f t="shared" si="7"/>
        <v>2.295056693156176E-2</v>
      </c>
      <c r="I87" s="49">
        <v>0</v>
      </c>
      <c r="J87" s="49">
        <v>274.5</v>
      </c>
      <c r="K87" s="49">
        <v>184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2" s="53" customFormat="1" ht="15.75" customHeight="1" x14ac:dyDescent="0.25">
      <c r="A88" s="50">
        <v>2010</v>
      </c>
      <c r="B88" s="50">
        <v>12</v>
      </c>
      <c r="C88" s="51">
        <f t="shared" si="4"/>
        <v>29.816666666666666</v>
      </c>
      <c r="D88" s="51">
        <f t="shared" si="5"/>
        <v>357.8</v>
      </c>
      <c r="E88" s="49">
        <v>1664.81</v>
      </c>
      <c r="F88" s="49">
        <f t="shared" si="6"/>
        <v>55.834879821129121</v>
      </c>
      <c r="G88" s="52">
        <f t="shared" si="7"/>
        <v>1.7909951686178403E-2</v>
      </c>
      <c r="I88" s="49">
        <v>0</v>
      </c>
      <c r="J88" s="49">
        <v>0</v>
      </c>
      <c r="K88" s="49">
        <v>161.30000000000001</v>
      </c>
      <c r="L88" s="49">
        <v>188</v>
      </c>
      <c r="M88" s="49">
        <v>8.5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2" s="53" customFormat="1" ht="15.75" customHeight="1" x14ac:dyDescent="0.25">
      <c r="A89" s="50">
        <v>2011</v>
      </c>
      <c r="B89" s="50">
        <v>12</v>
      </c>
      <c r="C89" s="51">
        <f t="shared" ref="C89:C98" si="8">D89/B89</f>
        <v>0</v>
      </c>
      <c r="D89" s="51">
        <f t="shared" ref="D89:D98" si="9">SUM(I89:T89)</f>
        <v>0</v>
      </c>
      <c r="E89" s="49">
        <v>1664.81</v>
      </c>
      <c r="F89" s="49" t="e">
        <f t="shared" ref="F89:F98" si="10">E89/C89</f>
        <v>#DIV/0!</v>
      </c>
      <c r="G89" s="52">
        <f t="shared" ref="G89:G98" si="11">C89/E89</f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2" s="53" customFormat="1" ht="15.75" customHeight="1" x14ac:dyDescent="0.25">
      <c r="A90" s="50">
        <v>2012</v>
      </c>
      <c r="B90" s="50">
        <v>12</v>
      </c>
      <c r="C90" s="51">
        <f t="shared" si="8"/>
        <v>48.641666666666673</v>
      </c>
      <c r="D90" s="51">
        <f t="shared" si="9"/>
        <v>583.70000000000005</v>
      </c>
      <c r="E90" s="49">
        <v>1664.81</v>
      </c>
      <c r="F90" s="49">
        <f t="shared" si="10"/>
        <v>34.226006510193585</v>
      </c>
      <c r="G90" s="52">
        <f t="shared" si="11"/>
        <v>2.9217548348860634E-2</v>
      </c>
      <c r="I90" s="49">
        <v>0</v>
      </c>
      <c r="J90" s="49">
        <v>0</v>
      </c>
      <c r="K90" s="49">
        <v>268.39999999999998</v>
      </c>
      <c r="L90" s="49">
        <v>314.3</v>
      </c>
      <c r="M90" s="49">
        <v>1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2" s="53" customFormat="1" ht="15.75" customHeight="1" x14ac:dyDescent="0.25">
      <c r="A91" s="50">
        <v>2013</v>
      </c>
      <c r="B91" s="50">
        <v>12</v>
      </c>
      <c r="C91" s="51">
        <f t="shared" si="8"/>
        <v>36.266666666666673</v>
      </c>
      <c r="D91" s="51">
        <f t="shared" si="9"/>
        <v>435.20000000000005</v>
      </c>
      <c r="E91" s="49">
        <v>1664.81</v>
      </c>
      <c r="F91" s="49">
        <f t="shared" si="10"/>
        <v>45.904687499999987</v>
      </c>
      <c r="G91" s="52">
        <f t="shared" si="11"/>
        <v>2.1784267674189051E-2</v>
      </c>
      <c r="I91" s="49">
        <v>0</v>
      </c>
      <c r="J91" s="49">
        <v>0</v>
      </c>
      <c r="K91" s="49">
        <v>0</v>
      </c>
      <c r="L91" s="49">
        <v>0</v>
      </c>
      <c r="M91" s="49">
        <v>307.8</v>
      </c>
      <c r="N91" s="49">
        <v>127.4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2" s="53" customFormat="1" ht="15.75" customHeight="1" x14ac:dyDescent="0.25">
      <c r="A92" s="50">
        <v>2014</v>
      </c>
      <c r="B92" s="50">
        <v>12</v>
      </c>
      <c r="C92" s="51">
        <f t="shared" si="8"/>
        <v>18.774999999999999</v>
      </c>
      <c r="D92" s="51">
        <f t="shared" si="9"/>
        <v>225.29999999999998</v>
      </c>
      <c r="E92" s="49">
        <v>1664.81</v>
      </c>
      <c r="F92" s="49">
        <f t="shared" si="10"/>
        <v>88.67163781624501</v>
      </c>
      <c r="G92" s="52">
        <f t="shared" si="11"/>
        <v>1.1277563205410826E-2</v>
      </c>
      <c r="I92" s="49">
        <v>0</v>
      </c>
      <c r="J92" s="49">
        <v>0</v>
      </c>
      <c r="K92" s="49">
        <v>0</v>
      </c>
      <c r="L92" s="49">
        <v>205.7</v>
      </c>
      <c r="M92" s="49">
        <v>19.600000000000001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V92" s="48"/>
    </row>
    <row r="93" spans="1:22" s="53" customFormat="1" ht="15.75" customHeight="1" x14ac:dyDescent="0.25">
      <c r="A93" s="50">
        <v>2015</v>
      </c>
      <c r="B93" s="50">
        <v>12</v>
      </c>
      <c r="C93" s="51">
        <f t="shared" si="8"/>
        <v>3.5833333333333335</v>
      </c>
      <c r="D93" s="51">
        <f t="shared" si="9"/>
        <v>43</v>
      </c>
      <c r="E93" s="49">
        <v>666</v>
      </c>
      <c r="F93" s="49">
        <f t="shared" si="10"/>
        <v>185.86046511627907</v>
      </c>
      <c r="G93" s="52">
        <f t="shared" si="11"/>
        <v>5.3803803803803806E-3</v>
      </c>
      <c r="I93" s="49">
        <v>0</v>
      </c>
      <c r="J93" s="49">
        <v>0</v>
      </c>
      <c r="K93" s="49">
        <v>0</v>
      </c>
      <c r="L93" s="49">
        <v>0</v>
      </c>
      <c r="M93" s="49">
        <v>43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V93" s="48"/>
    </row>
    <row r="94" spans="1:22" s="53" customFormat="1" ht="15.75" customHeight="1" x14ac:dyDescent="0.25">
      <c r="A94" s="50">
        <v>2016</v>
      </c>
      <c r="B94" s="50">
        <v>12</v>
      </c>
      <c r="C94" s="51">
        <f t="shared" si="8"/>
        <v>10.316666666666666</v>
      </c>
      <c r="D94" s="51">
        <f t="shared" si="9"/>
        <v>123.8</v>
      </c>
      <c r="E94" s="49">
        <v>666</v>
      </c>
      <c r="F94" s="49">
        <f t="shared" si="10"/>
        <v>64.555735056542815</v>
      </c>
      <c r="G94" s="52">
        <f t="shared" si="11"/>
        <v>1.5490490490490489E-2</v>
      </c>
      <c r="I94" s="49">
        <v>0</v>
      </c>
      <c r="J94" s="49">
        <v>0</v>
      </c>
      <c r="K94" s="49">
        <v>0</v>
      </c>
      <c r="L94" s="49">
        <v>0</v>
      </c>
      <c r="M94" s="49">
        <v>1.7</v>
      </c>
      <c r="N94" s="49">
        <v>122.1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2" s="53" customFormat="1" ht="15.75" customHeight="1" x14ac:dyDescent="0.25">
      <c r="A95" s="50">
        <v>2017</v>
      </c>
      <c r="B95" s="50">
        <v>12</v>
      </c>
      <c r="C95" s="51">
        <f t="shared" si="8"/>
        <v>14.346666666666669</v>
      </c>
      <c r="D95" s="51">
        <f t="shared" si="9"/>
        <v>172.16000000000003</v>
      </c>
      <c r="E95" s="49">
        <v>666</v>
      </c>
      <c r="F95" s="49">
        <f t="shared" si="10"/>
        <v>46.421933085501848</v>
      </c>
      <c r="G95" s="52">
        <f t="shared" si="11"/>
        <v>2.1541541541541545E-2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141.80600000000001</v>
      </c>
      <c r="P95" s="49">
        <v>30.353999999999999</v>
      </c>
      <c r="Q95" s="49">
        <v>0</v>
      </c>
      <c r="R95" s="49">
        <v>0</v>
      </c>
      <c r="S95" s="49">
        <v>0</v>
      </c>
      <c r="T95" s="49">
        <v>0</v>
      </c>
    </row>
    <row r="96" spans="1:22" s="53" customFormat="1" ht="15.75" customHeight="1" x14ac:dyDescent="0.25">
      <c r="A96" s="50">
        <v>2018</v>
      </c>
      <c r="B96" s="50">
        <v>12</v>
      </c>
      <c r="C96" s="51">
        <f t="shared" si="8"/>
        <v>6.7583333333333329</v>
      </c>
      <c r="D96" s="51">
        <f t="shared" si="9"/>
        <v>81.099999999999994</v>
      </c>
      <c r="E96" s="49">
        <v>666</v>
      </c>
      <c r="F96" s="49">
        <f t="shared" si="10"/>
        <v>98.545006165228116</v>
      </c>
      <c r="G96" s="52">
        <f t="shared" si="11"/>
        <v>1.0147647647647647E-2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81.099999999999994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11.799999999999999</v>
      </c>
      <c r="D97" s="51">
        <f t="shared" si="9"/>
        <v>141.6</v>
      </c>
      <c r="E97" s="49">
        <v>666</v>
      </c>
      <c r="F97" s="49">
        <f t="shared" si="10"/>
        <v>56.440677966101703</v>
      </c>
      <c r="G97" s="52">
        <f t="shared" si="11"/>
        <v>1.7717717717717716E-2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141.6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5.25</v>
      </c>
      <c r="D98" s="51">
        <f t="shared" si="9"/>
        <v>63</v>
      </c>
      <c r="E98" s="49">
        <v>666</v>
      </c>
      <c r="F98" s="49">
        <f t="shared" si="10"/>
        <v>126.85714285714286</v>
      </c>
      <c r="G98" s="52">
        <f t="shared" si="11"/>
        <v>7.8828828828828822E-3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63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666</v>
      </c>
      <c r="F99" s="49" t="e">
        <f t="shared" ref="F99" si="14">E99/C99</f>
        <v>#DIV/0!</v>
      </c>
      <c r="G99" s="52">
        <f t="shared" ref="G99" si="15">C99/E99</f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18.141666666666666</v>
      </c>
      <c r="D100" s="51">
        <f t="shared" ref="D100" si="17">SUM(I100:T100)</f>
        <v>217.7</v>
      </c>
      <c r="E100" s="49">
        <v>666</v>
      </c>
      <c r="F100" s="49">
        <f t="shared" ref="F100" si="18">E100/C100</f>
        <v>36.711070280202115</v>
      </c>
      <c r="G100" s="52">
        <f t="shared" ref="G100" si="19">C100/E100</f>
        <v>2.7239739739739737E-2</v>
      </c>
      <c r="I100" s="54">
        <v>0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217.7</v>
      </c>
      <c r="Q100" s="54">
        <v>0</v>
      </c>
      <c r="R100" s="54">
        <v>0</v>
      </c>
      <c r="S100" s="54">
        <v>0</v>
      </c>
      <c r="T100" s="54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17.349999999999998</v>
      </c>
      <c r="D101" s="51">
        <f t="shared" ref="D101" si="21">SUM(I101:T101)</f>
        <v>208.2</v>
      </c>
      <c r="E101" s="49">
        <v>666</v>
      </c>
      <c r="F101" s="49">
        <f t="shared" ref="F101" si="22">E101/C101</f>
        <v>38.386167146974067</v>
      </c>
      <c r="G101" s="52">
        <f t="shared" ref="G101" si="23">C101/E101</f>
        <v>2.6051051051051047E-2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0</v>
      </c>
      <c r="S101" s="54">
        <v>151.69999999999999</v>
      </c>
      <c r="T101" s="54">
        <v>56.5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666</v>
      </c>
      <c r="F102" s="49" t="e">
        <f t="shared" ref="F102" si="26">E102/C102</f>
        <v>#DIV/0!</v>
      </c>
      <c r="G102" s="52">
        <f t="shared" ref="G102" si="27">C102/E102</f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</row>
    <row r="103" spans="1:20" ht="15.75" customHeight="1" x14ac:dyDescent="0.25">
      <c r="A103" s="50">
        <v>2025</v>
      </c>
      <c r="B103" s="50">
        <v>12</v>
      </c>
      <c r="C103" s="51">
        <f t="shared" ref="C103" si="28">D103/B103</f>
        <v>27.716666666666665</v>
      </c>
      <c r="D103" s="51">
        <f t="shared" ref="D103" si="29">SUM(I103:T103)</f>
        <v>332.59999999999997</v>
      </c>
      <c r="E103" s="49">
        <v>666</v>
      </c>
      <c r="F103" s="49">
        <f t="shared" ref="F103" si="30">E103/C103</f>
        <v>24.028863499699341</v>
      </c>
      <c r="G103" s="52">
        <f t="shared" ref="G103" si="31">C103/E103</f>
        <v>4.1616616616616614E-2</v>
      </c>
      <c r="I103" s="54">
        <v>0</v>
      </c>
      <c r="J103" s="54">
        <v>0</v>
      </c>
      <c r="K103" s="54">
        <v>279.7</v>
      </c>
      <c r="L103" s="54">
        <v>52.9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103"/>
  <sheetViews>
    <sheetView zoomScale="80" zoomScaleNormal="80" workbookViewId="0">
      <pane ySplit="1440" topLeftCell="A67" activePane="bottomLeft"/>
      <selection sqref="A1:XFD1048576"/>
      <selection pane="bottomLeft" activeCell="A103" sqref="A103:XFD103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6640625" style="55" bestFit="1" customWidth="1"/>
    <col min="5" max="5" width="10.88671875" style="56" customWidth="1"/>
    <col min="6" max="6" width="9.554687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44140625" style="56" customWidth="1"/>
    <col min="11" max="16" width="9.33203125" style="56" bestFit="1" customWidth="1"/>
    <col min="17" max="17" width="12.44140625" style="56" customWidth="1"/>
    <col min="18" max="18" width="9.6640625" style="56" customWidth="1"/>
    <col min="19" max="19" width="12" style="56" customWidth="1"/>
    <col min="20" max="20" width="11.5546875" style="56" customWidth="1"/>
    <col min="21" max="16384" width="9.109375" style="40"/>
  </cols>
  <sheetData>
    <row r="1" spans="1:22" ht="15" x14ac:dyDescent="0.25">
      <c r="A1" s="120" t="s">
        <v>41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106.84166666666665</v>
      </c>
      <c r="D14" s="51">
        <f t="shared" si="1"/>
        <v>1282.0999999999999</v>
      </c>
      <c r="E14" s="49">
        <v>3265.21</v>
      </c>
      <c r="F14" s="49">
        <f t="shared" si="2"/>
        <v>30.561204274237582</v>
      </c>
      <c r="G14" s="52">
        <f t="shared" si="3"/>
        <v>3.2721223647687793E-2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82.6</v>
      </c>
    </row>
    <row r="15" spans="1:22" s="53" customFormat="1" ht="15.75" customHeight="1" x14ac:dyDescent="0.25">
      <c r="A15" s="50">
        <v>1937</v>
      </c>
      <c r="B15" s="50">
        <v>12</v>
      </c>
      <c r="C15" s="51">
        <f t="shared" si="0"/>
        <v>77.766666666666666</v>
      </c>
      <c r="D15" s="51">
        <f t="shared" si="1"/>
        <v>933.19999999999993</v>
      </c>
      <c r="E15" s="49">
        <v>1166.55</v>
      </c>
      <c r="F15" s="49">
        <f t="shared" si="2"/>
        <v>15.000642948992713</v>
      </c>
      <c r="G15" s="52">
        <f t="shared" si="3"/>
        <v>6.6663809238066668E-2</v>
      </c>
      <c r="I15" s="49">
        <v>95</v>
      </c>
      <c r="J15" s="49">
        <v>95</v>
      </c>
      <c r="K15" s="49">
        <v>85.9</v>
      </c>
      <c r="L15" s="49">
        <v>60</v>
      </c>
      <c r="M15" s="49">
        <v>59</v>
      </c>
      <c r="N15" s="49">
        <v>59</v>
      </c>
      <c r="O15" s="49">
        <v>69.3</v>
      </c>
      <c r="P15" s="49">
        <v>82</v>
      </c>
      <c r="Q15" s="49">
        <v>82</v>
      </c>
      <c r="R15" s="49">
        <v>82</v>
      </c>
      <c r="S15" s="49">
        <v>82</v>
      </c>
      <c r="T15" s="49">
        <v>82</v>
      </c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70.725000000000009</v>
      </c>
      <c r="D16" s="51">
        <f t="shared" si="1"/>
        <v>848.7</v>
      </c>
      <c r="E16" s="49">
        <v>1166.55</v>
      </c>
      <c r="F16" s="49">
        <f t="shared" si="2"/>
        <v>16.494167550371152</v>
      </c>
      <c r="G16" s="52">
        <f t="shared" si="3"/>
        <v>6.0627491320560639E-2</v>
      </c>
      <c r="I16" s="49">
        <v>82</v>
      </c>
      <c r="J16" s="49">
        <v>82</v>
      </c>
      <c r="K16" s="49">
        <v>73</v>
      </c>
      <c r="L16" s="49">
        <v>67.900000000000006</v>
      </c>
      <c r="M16" s="49">
        <v>78.5</v>
      </c>
      <c r="N16" s="49">
        <v>52.6</v>
      </c>
      <c r="O16" s="49">
        <v>62</v>
      </c>
      <c r="P16" s="49">
        <v>71</v>
      </c>
      <c r="Q16" s="49">
        <v>71</v>
      </c>
      <c r="R16" s="49">
        <v>69.5</v>
      </c>
      <c r="S16" s="49">
        <v>65.7</v>
      </c>
      <c r="T16" s="49">
        <v>73.5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71.225000000000009</v>
      </c>
      <c r="D17" s="51">
        <f t="shared" si="1"/>
        <v>854.7</v>
      </c>
      <c r="E17" s="49">
        <v>1166.55</v>
      </c>
      <c r="F17" s="49">
        <f t="shared" si="2"/>
        <v>16.378378378378375</v>
      </c>
      <c r="G17" s="52">
        <f t="shared" si="3"/>
        <v>6.1056105610561066E-2</v>
      </c>
      <c r="I17" s="49">
        <v>77.599999999999994</v>
      </c>
      <c r="J17" s="49">
        <v>82</v>
      </c>
      <c r="K17" s="49">
        <v>83.6</v>
      </c>
      <c r="L17" s="49">
        <v>85</v>
      </c>
      <c r="M17" s="49">
        <v>85</v>
      </c>
      <c r="N17" s="49">
        <v>72.8</v>
      </c>
      <c r="O17" s="49">
        <v>59.1</v>
      </c>
      <c r="P17" s="49">
        <v>74</v>
      </c>
      <c r="Q17" s="49">
        <v>74</v>
      </c>
      <c r="R17" s="49">
        <v>71</v>
      </c>
      <c r="S17" s="49">
        <v>39.6</v>
      </c>
      <c r="T17" s="49">
        <v>51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30.433333333333334</v>
      </c>
      <c r="D18" s="51">
        <f t="shared" si="1"/>
        <v>365.2</v>
      </c>
      <c r="E18" s="49">
        <v>1166.55</v>
      </c>
      <c r="F18" s="49">
        <f t="shared" si="2"/>
        <v>38.331325301204821</v>
      </c>
      <c r="G18" s="52">
        <f t="shared" si="3"/>
        <v>2.6088323118026089E-2</v>
      </c>
      <c r="I18" s="49">
        <v>4.9000000000000004</v>
      </c>
      <c r="J18" s="49">
        <v>6.2</v>
      </c>
      <c r="K18" s="49">
        <v>20.100000000000001</v>
      </c>
      <c r="L18" s="49">
        <v>21</v>
      </c>
      <c r="M18" s="49">
        <v>21.7</v>
      </c>
      <c r="N18" s="49">
        <v>46.5</v>
      </c>
      <c r="O18" s="49">
        <v>45.4</v>
      </c>
      <c r="P18" s="49">
        <v>45</v>
      </c>
      <c r="Q18" s="49">
        <v>45</v>
      </c>
      <c r="R18" s="49">
        <v>30.2</v>
      </c>
      <c r="S18" s="49">
        <v>21.2</v>
      </c>
      <c r="T18" s="49">
        <v>58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31.658333333333331</v>
      </c>
      <c r="D19" s="51">
        <f t="shared" si="1"/>
        <v>379.9</v>
      </c>
      <c r="E19" s="49">
        <v>1166.55</v>
      </c>
      <c r="F19" s="49">
        <f t="shared" si="2"/>
        <v>36.848117925769941</v>
      </c>
      <c r="G19" s="52">
        <f t="shared" si="3"/>
        <v>2.7138428128527139E-2</v>
      </c>
      <c r="I19" s="49">
        <v>58</v>
      </c>
      <c r="J19" s="49">
        <v>58</v>
      </c>
      <c r="K19" s="49">
        <v>1</v>
      </c>
      <c r="L19" s="49">
        <v>0</v>
      </c>
      <c r="M19" s="49">
        <v>26.3</v>
      </c>
      <c r="N19" s="49">
        <v>43</v>
      </c>
      <c r="O19" s="49">
        <v>43</v>
      </c>
      <c r="P19" s="49">
        <v>43</v>
      </c>
      <c r="Q19" s="49">
        <v>42.4</v>
      </c>
      <c r="R19" s="49">
        <v>30.9</v>
      </c>
      <c r="S19" s="49">
        <v>0</v>
      </c>
      <c r="T19" s="49">
        <v>34.299999999999997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41.533333333333331</v>
      </c>
      <c r="D20" s="51">
        <f t="shared" si="1"/>
        <v>498.4</v>
      </c>
      <c r="E20" s="49">
        <v>1166.55</v>
      </c>
      <c r="F20" s="49">
        <f t="shared" si="2"/>
        <v>28.087078651685392</v>
      </c>
      <c r="G20" s="52">
        <f t="shared" si="3"/>
        <v>3.5603560356035603E-2</v>
      </c>
      <c r="I20" s="49">
        <v>41</v>
      </c>
      <c r="J20" s="49">
        <v>41</v>
      </c>
      <c r="K20" s="49">
        <v>41.9</v>
      </c>
      <c r="L20" s="49">
        <v>43</v>
      </c>
      <c r="M20" s="49">
        <v>42.3</v>
      </c>
      <c r="N20" s="49">
        <v>41.8</v>
      </c>
      <c r="O20" s="49">
        <v>41.5</v>
      </c>
      <c r="P20" s="49">
        <v>42.5</v>
      </c>
      <c r="Q20" s="49">
        <v>43</v>
      </c>
      <c r="R20" s="49">
        <v>42.4</v>
      </c>
      <c r="S20" s="49">
        <v>34.1</v>
      </c>
      <c r="T20" s="49">
        <v>43.9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35.833333333333336</v>
      </c>
      <c r="D21" s="51">
        <f t="shared" si="1"/>
        <v>430.00000000000006</v>
      </c>
      <c r="E21" s="49">
        <v>1166.55</v>
      </c>
      <c r="F21" s="49">
        <f t="shared" si="2"/>
        <v>32.554883720930228</v>
      </c>
      <c r="G21" s="52">
        <f t="shared" si="3"/>
        <v>3.0717357450030722E-2</v>
      </c>
      <c r="I21" s="49">
        <v>37</v>
      </c>
      <c r="J21" s="49">
        <v>37</v>
      </c>
      <c r="K21" s="49">
        <v>37.799999999999997</v>
      </c>
      <c r="L21" s="49">
        <v>36.200000000000003</v>
      </c>
      <c r="M21" s="49">
        <v>36</v>
      </c>
      <c r="N21" s="49">
        <v>36</v>
      </c>
      <c r="O21" s="49">
        <v>36</v>
      </c>
      <c r="P21" s="49">
        <v>36</v>
      </c>
      <c r="Q21" s="49">
        <v>42.3</v>
      </c>
      <c r="R21" s="49">
        <v>37.1</v>
      </c>
      <c r="S21" s="49">
        <v>28.6</v>
      </c>
      <c r="T21" s="49">
        <v>30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30.625</v>
      </c>
      <c r="D22" s="51">
        <f t="shared" si="1"/>
        <v>367.5</v>
      </c>
      <c r="E22" s="49">
        <v>1166.55</v>
      </c>
      <c r="F22" s="49">
        <f t="shared" si="2"/>
        <v>38.091428571428573</v>
      </c>
      <c r="G22" s="52">
        <f t="shared" si="3"/>
        <v>2.6252625262526252E-2</v>
      </c>
      <c r="I22" s="49">
        <v>30</v>
      </c>
      <c r="J22" s="49">
        <v>30</v>
      </c>
      <c r="K22" s="49">
        <v>31.6</v>
      </c>
      <c r="L22" s="49">
        <v>32</v>
      </c>
      <c r="M22" s="49">
        <v>32</v>
      </c>
      <c r="N22" s="49">
        <v>32</v>
      </c>
      <c r="O22" s="49">
        <v>32</v>
      </c>
      <c r="P22" s="49">
        <v>32</v>
      </c>
      <c r="Q22" s="49">
        <v>31.4</v>
      </c>
      <c r="R22" s="49">
        <v>31</v>
      </c>
      <c r="S22" s="49">
        <v>23.5</v>
      </c>
      <c r="T22" s="49">
        <v>30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30.950000000000003</v>
      </c>
      <c r="D23" s="51">
        <f t="shared" si="1"/>
        <v>371.40000000000003</v>
      </c>
      <c r="E23" s="49">
        <v>1166.55</v>
      </c>
      <c r="F23" s="49">
        <f t="shared" si="2"/>
        <v>37.691437802907913</v>
      </c>
      <c r="G23" s="52">
        <f t="shared" si="3"/>
        <v>2.6531224551026536E-2</v>
      </c>
      <c r="I23" s="49">
        <v>30</v>
      </c>
      <c r="J23" s="49">
        <v>30</v>
      </c>
      <c r="K23" s="49">
        <v>31.5</v>
      </c>
      <c r="L23" s="49">
        <v>32</v>
      </c>
      <c r="M23" s="49">
        <v>32</v>
      </c>
      <c r="N23" s="49">
        <v>31.1</v>
      </c>
      <c r="O23" s="49">
        <v>31</v>
      </c>
      <c r="P23" s="49">
        <v>31</v>
      </c>
      <c r="Q23" s="49">
        <v>31</v>
      </c>
      <c r="R23" s="49">
        <v>26.5</v>
      </c>
      <c r="S23" s="49">
        <v>30.3</v>
      </c>
      <c r="T23" s="49">
        <v>35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34.041666666666671</v>
      </c>
      <c r="D24" s="51">
        <f t="shared" si="1"/>
        <v>408.50000000000006</v>
      </c>
      <c r="E24" s="49">
        <v>1166.55</v>
      </c>
      <c r="F24" s="49">
        <f t="shared" si="2"/>
        <v>34.268298653610763</v>
      </c>
      <c r="G24" s="52">
        <f t="shared" si="3"/>
        <v>2.9181489577529186E-2</v>
      </c>
      <c r="I24" s="49">
        <v>35</v>
      </c>
      <c r="J24" s="49">
        <v>35</v>
      </c>
      <c r="K24" s="49">
        <v>37</v>
      </c>
      <c r="L24" s="49">
        <v>36.6</v>
      </c>
      <c r="M24" s="49">
        <v>36</v>
      </c>
      <c r="N24" s="49">
        <v>36</v>
      </c>
      <c r="O24" s="49">
        <v>36</v>
      </c>
      <c r="P24" s="49">
        <v>36</v>
      </c>
      <c r="Q24" s="49">
        <v>37.1</v>
      </c>
      <c r="R24" s="49">
        <v>20.3</v>
      </c>
      <c r="S24" s="49">
        <v>23.5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39.799999999999997</v>
      </c>
      <c r="D25" s="51">
        <f t="shared" si="1"/>
        <v>477.59999999999997</v>
      </c>
      <c r="E25" s="49">
        <v>1166.55</v>
      </c>
      <c r="F25" s="49">
        <f t="shared" si="2"/>
        <v>29.310301507537691</v>
      </c>
      <c r="G25" s="52">
        <f t="shared" si="3"/>
        <v>3.4117697484034114E-2</v>
      </c>
      <c r="I25" s="49">
        <v>40</v>
      </c>
      <c r="J25" s="49">
        <v>40</v>
      </c>
      <c r="K25" s="49">
        <v>41.2</v>
      </c>
      <c r="L25" s="49">
        <v>42</v>
      </c>
      <c r="M25" s="49">
        <v>42</v>
      </c>
      <c r="N25" s="49">
        <v>42</v>
      </c>
      <c r="O25" s="49">
        <v>42</v>
      </c>
      <c r="P25" s="49">
        <v>42</v>
      </c>
      <c r="Q25" s="49">
        <v>42</v>
      </c>
      <c r="R25" s="49">
        <v>36.700000000000003</v>
      </c>
      <c r="S25" s="49">
        <v>23.4</v>
      </c>
      <c r="T25" s="49">
        <v>44.3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45.199999999999996</v>
      </c>
      <c r="D26" s="51">
        <f t="shared" si="1"/>
        <v>542.4</v>
      </c>
      <c r="E26" s="49">
        <v>1166.55</v>
      </c>
      <c r="F26" s="49">
        <f t="shared" si="2"/>
        <v>25.808628318584073</v>
      </c>
      <c r="G26" s="52">
        <f t="shared" si="3"/>
        <v>3.8746731816038743E-2</v>
      </c>
      <c r="I26" s="49">
        <v>44</v>
      </c>
      <c r="J26" s="49">
        <v>44</v>
      </c>
      <c r="K26" s="49">
        <v>46.7</v>
      </c>
      <c r="L26" s="49">
        <v>48</v>
      </c>
      <c r="M26" s="49">
        <v>48.3</v>
      </c>
      <c r="N26" s="49">
        <v>48</v>
      </c>
      <c r="O26" s="49">
        <v>48</v>
      </c>
      <c r="P26" s="49">
        <v>48</v>
      </c>
      <c r="Q26" s="49">
        <v>49.3</v>
      </c>
      <c r="R26" s="49">
        <v>41.4</v>
      </c>
      <c r="S26" s="49">
        <v>34.9</v>
      </c>
      <c r="T26" s="49">
        <v>41.8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31.108333333333334</v>
      </c>
      <c r="D27" s="51">
        <f t="shared" si="1"/>
        <v>373.3</v>
      </c>
      <c r="E27" s="49">
        <v>1166.55</v>
      </c>
      <c r="F27" s="49">
        <f t="shared" si="2"/>
        <v>37.499598178408782</v>
      </c>
      <c r="G27" s="52">
        <f t="shared" si="3"/>
        <v>2.666695240952667E-2</v>
      </c>
      <c r="I27" s="49">
        <v>42</v>
      </c>
      <c r="J27" s="49">
        <v>42</v>
      </c>
      <c r="K27" s="49">
        <v>44.3</v>
      </c>
      <c r="L27" s="49">
        <v>43.5</v>
      </c>
      <c r="M27" s="49">
        <v>43</v>
      </c>
      <c r="N27" s="49">
        <v>43</v>
      </c>
      <c r="O27" s="49">
        <v>42.2</v>
      </c>
      <c r="P27" s="49">
        <v>42</v>
      </c>
      <c r="Q27" s="49">
        <v>12.6</v>
      </c>
      <c r="R27" s="49">
        <v>0</v>
      </c>
      <c r="S27" s="49">
        <v>18.7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15.700000000000001</v>
      </c>
      <c r="D28" s="51">
        <f t="shared" si="1"/>
        <v>188.4</v>
      </c>
      <c r="E28" s="49">
        <v>1166.55</v>
      </c>
      <c r="F28" s="49">
        <f t="shared" si="2"/>
        <v>74.302547770700627</v>
      </c>
      <c r="G28" s="52">
        <f t="shared" si="3"/>
        <v>1.3458488706013461E-2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31.3</v>
      </c>
      <c r="S28" s="49">
        <v>108</v>
      </c>
      <c r="T28" s="49">
        <v>49.1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36.799999999999997</v>
      </c>
      <c r="D29" s="51">
        <f t="shared" si="1"/>
        <v>441.59999999999997</v>
      </c>
      <c r="E29" s="49">
        <v>1166.55</v>
      </c>
      <c r="F29" s="49">
        <f t="shared" si="2"/>
        <v>31.699728260869566</v>
      </c>
      <c r="G29" s="52">
        <f t="shared" si="3"/>
        <v>3.1546011744031544E-2</v>
      </c>
      <c r="I29" s="49">
        <v>35</v>
      </c>
      <c r="J29" s="49">
        <v>35</v>
      </c>
      <c r="K29" s="49">
        <v>6.4</v>
      </c>
      <c r="L29" s="49">
        <v>34.1</v>
      </c>
      <c r="M29" s="49">
        <v>55.9</v>
      </c>
      <c r="N29" s="49">
        <v>35.9</v>
      </c>
      <c r="O29" s="49">
        <v>37.1</v>
      </c>
      <c r="P29" s="49">
        <v>38</v>
      </c>
      <c r="Q29" s="49">
        <v>38</v>
      </c>
      <c r="R29" s="49">
        <v>45</v>
      </c>
      <c r="S29" s="49">
        <v>41.7</v>
      </c>
      <c r="T29" s="49">
        <v>39.5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39.958333333333336</v>
      </c>
      <c r="D30" s="51">
        <f t="shared" si="1"/>
        <v>479.5</v>
      </c>
      <c r="E30" s="49">
        <v>1166.55</v>
      </c>
      <c r="F30" s="49">
        <f t="shared" si="2"/>
        <v>29.194160583941603</v>
      </c>
      <c r="G30" s="52">
        <f t="shared" si="3"/>
        <v>3.4253425342534255E-2</v>
      </c>
      <c r="I30" s="49">
        <v>39</v>
      </c>
      <c r="J30" s="49">
        <v>39</v>
      </c>
      <c r="K30" s="49">
        <v>40.6</v>
      </c>
      <c r="L30" s="49">
        <v>41</v>
      </c>
      <c r="M30" s="49">
        <v>43.1</v>
      </c>
      <c r="N30" s="49">
        <v>45</v>
      </c>
      <c r="O30" s="49">
        <v>44.5</v>
      </c>
      <c r="P30" s="49">
        <v>44</v>
      </c>
      <c r="Q30" s="49">
        <v>42.7</v>
      </c>
      <c r="R30" s="49">
        <v>40.6</v>
      </c>
      <c r="S30" s="49">
        <v>30</v>
      </c>
      <c r="T30" s="49">
        <v>30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38.81666666666667</v>
      </c>
      <c r="D31" s="51">
        <f t="shared" si="1"/>
        <v>465.80000000000007</v>
      </c>
      <c r="E31" s="49">
        <v>1166.55</v>
      </c>
      <c r="F31" s="49">
        <f t="shared" si="2"/>
        <v>30.052812365822238</v>
      </c>
      <c r="G31" s="52">
        <f t="shared" si="3"/>
        <v>3.3274756047033276E-2</v>
      </c>
      <c r="I31" s="49">
        <v>30</v>
      </c>
      <c r="J31" s="49">
        <v>30</v>
      </c>
      <c r="K31" s="49">
        <v>35.5</v>
      </c>
      <c r="L31" s="49">
        <v>44.8</v>
      </c>
      <c r="M31" s="49">
        <v>47.8</v>
      </c>
      <c r="N31" s="49">
        <v>43.1</v>
      </c>
      <c r="O31" s="49">
        <v>41.4</v>
      </c>
      <c r="P31" s="49">
        <v>41</v>
      </c>
      <c r="Q31" s="49">
        <v>39.4</v>
      </c>
      <c r="R31" s="49">
        <v>26.1</v>
      </c>
      <c r="S31" s="49">
        <v>50.1</v>
      </c>
      <c r="T31" s="49">
        <v>36.6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34.475000000000001</v>
      </c>
      <c r="D32" s="51">
        <f t="shared" si="1"/>
        <v>413.7</v>
      </c>
      <c r="E32" s="49">
        <v>1166.55</v>
      </c>
      <c r="F32" s="49">
        <f t="shared" si="2"/>
        <v>33.837563451776646</v>
      </c>
      <c r="G32" s="52">
        <f t="shared" si="3"/>
        <v>2.9552955295529554E-2</v>
      </c>
      <c r="I32" s="49">
        <v>39</v>
      </c>
      <c r="J32" s="49">
        <v>39</v>
      </c>
      <c r="K32" s="49">
        <v>41.1</v>
      </c>
      <c r="L32" s="49">
        <v>47</v>
      </c>
      <c r="M32" s="49">
        <v>47</v>
      </c>
      <c r="N32" s="49">
        <v>35</v>
      </c>
      <c r="O32" s="49">
        <v>36.700000000000003</v>
      </c>
      <c r="P32" s="49">
        <v>37</v>
      </c>
      <c r="Q32" s="49">
        <v>36.700000000000003</v>
      </c>
      <c r="R32" s="49">
        <v>35</v>
      </c>
      <c r="S32" s="49">
        <v>20.2</v>
      </c>
      <c r="T32" s="49">
        <v>0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51.724999999999994</v>
      </c>
      <c r="D33" s="51">
        <f t="shared" si="1"/>
        <v>620.69999999999993</v>
      </c>
      <c r="E33" s="49">
        <v>1166.55</v>
      </c>
      <c r="F33" s="49">
        <f t="shared" si="2"/>
        <v>22.552924117931369</v>
      </c>
      <c r="G33" s="52">
        <f t="shared" si="3"/>
        <v>4.4340148300544335E-2</v>
      </c>
      <c r="I33" s="49">
        <v>1.8</v>
      </c>
      <c r="J33" s="49">
        <v>10.9</v>
      </c>
      <c r="K33" s="49">
        <v>60.6</v>
      </c>
      <c r="L33" s="49">
        <v>62.8</v>
      </c>
      <c r="M33" s="49">
        <v>63</v>
      </c>
      <c r="N33" s="49">
        <v>60.8</v>
      </c>
      <c r="O33" s="49">
        <v>59.9</v>
      </c>
      <c r="P33" s="49">
        <v>59.1</v>
      </c>
      <c r="Q33" s="49">
        <v>61</v>
      </c>
      <c r="R33" s="49">
        <v>60.9</v>
      </c>
      <c r="S33" s="49">
        <v>60</v>
      </c>
      <c r="T33" s="49">
        <v>59.9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55.425000000000004</v>
      </c>
      <c r="D34" s="51">
        <f t="shared" si="1"/>
        <v>665.1</v>
      </c>
      <c r="E34" s="49">
        <v>1166.55</v>
      </c>
      <c r="F34" s="49">
        <f t="shared" si="2"/>
        <v>21.047361299052771</v>
      </c>
      <c r="G34" s="52">
        <f t="shared" si="3"/>
        <v>4.7511894046547515E-2</v>
      </c>
      <c r="I34" s="49">
        <v>59</v>
      </c>
      <c r="J34" s="49">
        <v>44.4</v>
      </c>
      <c r="K34" s="49">
        <v>60.5</v>
      </c>
      <c r="L34" s="49">
        <v>61.4</v>
      </c>
      <c r="M34" s="49">
        <v>60.4</v>
      </c>
      <c r="N34" s="49">
        <v>59.4</v>
      </c>
      <c r="O34" s="49">
        <v>58.3</v>
      </c>
      <c r="P34" s="49">
        <v>58</v>
      </c>
      <c r="Q34" s="49">
        <v>57.5</v>
      </c>
      <c r="R34" s="49">
        <v>55</v>
      </c>
      <c r="S34" s="49">
        <v>48.7</v>
      </c>
      <c r="T34" s="49">
        <v>42.5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41.366666666666667</v>
      </c>
      <c r="D35" s="51">
        <f t="shared" si="1"/>
        <v>496.40000000000003</v>
      </c>
      <c r="E35" s="49">
        <v>1166.55</v>
      </c>
      <c r="F35" s="49">
        <f t="shared" si="2"/>
        <v>28.200241740531826</v>
      </c>
      <c r="G35" s="52">
        <f t="shared" si="3"/>
        <v>3.5460688926035461E-2</v>
      </c>
      <c r="I35" s="49">
        <v>42</v>
      </c>
      <c r="J35" s="49">
        <v>42</v>
      </c>
      <c r="K35" s="49">
        <v>43</v>
      </c>
      <c r="L35" s="49">
        <v>44</v>
      </c>
      <c r="M35" s="49">
        <v>43.6</v>
      </c>
      <c r="N35" s="49">
        <v>41.2</v>
      </c>
      <c r="O35" s="49">
        <v>41</v>
      </c>
      <c r="P35" s="49">
        <v>41</v>
      </c>
      <c r="Q35" s="49">
        <v>40.299999999999997</v>
      </c>
      <c r="R35" s="49">
        <v>39</v>
      </c>
      <c r="S35" s="49">
        <v>29.1</v>
      </c>
      <c r="T35" s="49">
        <v>50.2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57.93333333333333</v>
      </c>
      <c r="D36" s="51">
        <f t="shared" si="1"/>
        <v>695.19999999999993</v>
      </c>
      <c r="E36" s="49">
        <v>1166.55</v>
      </c>
      <c r="F36" s="49">
        <f t="shared" si="2"/>
        <v>20.13607594936709</v>
      </c>
      <c r="G36" s="52">
        <f t="shared" si="3"/>
        <v>4.9662109068049659E-2</v>
      </c>
      <c r="I36" s="49">
        <v>52</v>
      </c>
      <c r="J36" s="49">
        <v>52</v>
      </c>
      <c r="K36" s="49">
        <v>54</v>
      </c>
      <c r="L36" s="49">
        <v>55</v>
      </c>
      <c r="M36" s="49">
        <v>54</v>
      </c>
      <c r="N36" s="49">
        <v>58</v>
      </c>
      <c r="O36" s="49">
        <v>62</v>
      </c>
      <c r="P36" s="49">
        <v>62</v>
      </c>
      <c r="Q36" s="49">
        <v>62</v>
      </c>
      <c r="R36" s="49">
        <v>59.9</v>
      </c>
      <c r="S36" s="49">
        <v>47.3</v>
      </c>
      <c r="T36" s="49">
        <v>77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67.541666666666671</v>
      </c>
      <c r="D37" s="51">
        <f t="shared" si="1"/>
        <v>810.50000000000011</v>
      </c>
      <c r="E37" s="49">
        <v>1166.55</v>
      </c>
      <c r="F37" s="49">
        <f t="shared" si="2"/>
        <v>17.271560764959901</v>
      </c>
      <c r="G37" s="52">
        <f t="shared" si="3"/>
        <v>5.7898647007557903E-2</v>
      </c>
      <c r="I37" s="49">
        <v>73.8</v>
      </c>
      <c r="J37" s="49">
        <v>71.7</v>
      </c>
      <c r="K37" s="49">
        <v>73.400000000000006</v>
      </c>
      <c r="L37" s="49">
        <v>71.7</v>
      </c>
      <c r="M37" s="49">
        <v>70.7</v>
      </c>
      <c r="N37" s="49">
        <v>70</v>
      </c>
      <c r="O37" s="49">
        <v>74.900000000000006</v>
      </c>
      <c r="P37" s="49">
        <v>77.599999999999994</v>
      </c>
      <c r="Q37" s="49">
        <v>76.599999999999994</v>
      </c>
      <c r="R37" s="49">
        <v>58</v>
      </c>
      <c r="S37" s="49">
        <v>41.1</v>
      </c>
      <c r="T37" s="49">
        <v>51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68.191666666666677</v>
      </c>
      <c r="D38" s="51">
        <f t="shared" si="1"/>
        <v>818.30000000000007</v>
      </c>
      <c r="E38" s="49">
        <v>1166.55</v>
      </c>
      <c r="F38" s="49">
        <f t="shared" si="2"/>
        <v>17.106928999144564</v>
      </c>
      <c r="G38" s="52">
        <f t="shared" si="3"/>
        <v>5.845584558455847E-2</v>
      </c>
      <c r="I38" s="49">
        <v>60</v>
      </c>
      <c r="J38" s="49">
        <v>69</v>
      </c>
      <c r="K38" s="49">
        <v>71.5</v>
      </c>
      <c r="L38" s="49">
        <v>75</v>
      </c>
      <c r="M38" s="49">
        <v>74.599999999999994</v>
      </c>
      <c r="N38" s="49">
        <v>74.599999999999994</v>
      </c>
      <c r="O38" s="49">
        <v>75</v>
      </c>
      <c r="P38" s="49">
        <v>75</v>
      </c>
      <c r="Q38" s="49">
        <v>74.599999999999994</v>
      </c>
      <c r="R38" s="49">
        <v>72.599999999999994</v>
      </c>
      <c r="S38" s="49">
        <v>46.4</v>
      </c>
      <c r="T38" s="49">
        <v>50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32.708333333333336</v>
      </c>
      <c r="D39" s="51">
        <f t="shared" si="1"/>
        <v>392.5</v>
      </c>
      <c r="E39" s="49">
        <v>1166.55</v>
      </c>
      <c r="F39" s="49">
        <f t="shared" si="2"/>
        <v>35.665222929936299</v>
      </c>
      <c r="G39" s="52">
        <f t="shared" si="3"/>
        <v>2.8038518137528043E-2</v>
      </c>
      <c r="I39" s="49">
        <v>50</v>
      </c>
      <c r="J39" s="49">
        <v>49.2</v>
      </c>
      <c r="K39" s="49">
        <v>39.6</v>
      </c>
      <c r="L39" s="49">
        <v>38.5</v>
      </c>
      <c r="M39" s="49">
        <v>37</v>
      </c>
      <c r="N39" s="49">
        <v>37</v>
      </c>
      <c r="O39" s="49">
        <v>37</v>
      </c>
      <c r="P39" s="49">
        <v>37</v>
      </c>
      <c r="Q39" s="49">
        <v>32.799999999999997</v>
      </c>
      <c r="R39" s="49">
        <v>30</v>
      </c>
      <c r="S39" s="49">
        <v>4.4000000000000004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26.716666666666669</v>
      </c>
      <c r="D40" s="51">
        <f t="shared" si="1"/>
        <v>320.60000000000002</v>
      </c>
      <c r="E40" s="49">
        <v>1166.55</v>
      </c>
      <c r="F40" s="49">
        <f t="shared" si="2"/>
        <v>43.663755458515276</v>
      </c>
      <c r="G40" s="52">
        <f t="shared" si="3"/>
        <v>2.2902290229022904E-2</v>
      </c>
      <c r="I40" s="49">
        <v>0</v>
      </c>
      <c r="J40" s="49">
        <v>0</v>
      </c>
      <c r="K40" s="49">
        <v>42.4</v>
      </c>
      <c r="L40" s="49">
        <v>105.8</v>
      </c>
      <c r="M40" s="49">
        <v>105</v>
      </c>
      <c r="N40" s="49">
        <v>67.400000000000006</v>
      </c>
      <c r="O40" s="49">
        <v>0</v>
      </c>
      <c r="P40" s="49">
        <v>0</v>
      </c>
      <c r="Q40" s="49">
        <v>0</v>
      </c>
      <c r="R40" s="49">
        <v>0</v>
      </c>
      <c r="S40" s="49">
        <v>0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44.141666666666673</v>
      </c>
      <c r="D41" s="51">
        <f t="shared" si="1"/>
        <v>529.70000000000005</v>
      </c>
      <c r="E41" s="49">
        <v>1166.55</v>
      </c>
      <c r="F41" s="49">
        <f t="shared" si="2"/>
        <v>26.427411742495746</v>
      </c>
      <c r="G41" s="52">
        <f t="shared" si="3"/>
        <v>3.7839498235537845E-2</v>
      </c>
      <c r="I41" s="49">
        <v>0</v>
      </c>
      <c r="J41" s="49">
        <v>49.6</v>
      </c>
      <c r="K41" s="49">
        <v>91.5</v>
      </c>
      <c r="L41" s="49">
        <v>94</v>
      </c>
      <c r="M41" s="49">
        <v>91.3</v>
      </c>
      <c r="N41" s="49">
        <v>86.1</v>
      </c>
      <c r="O41" s="49">
        <v>16.7</v>
      </c>
      <c r="P41" s="49">
        <v>13.1</v>
      </c>
      <c r="Q41" s="49">
        <v>13.2</v>
      </c>
      <c r="R41" s="49">
        <v>13.1</v>
      </c>
      <c r="S41" s="49">
        <v>25.1</v>
      </c>
      <c r="T41" s="49">
        <v>36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34.658333333333331</v>
      </c>
      <c r="D42" s="51">
        <f t="shared" si="1"/>
        <v>415.9</v>
      </c>
      <c r="E42" s="49">
        <v>1166.55</v>
      </c>
      <c r="F42" s="49">
        <f t="shared" si="2"/>
        <v>33.65857177206059</v>
      </c>
      <c r="G42" s="52">
        <f t="shared" si="3"/>
        <v>2.971011386852971E-2</v>
      </c>
      <c r="I42" s="49">
        <v>36</v>
      </c>
      <c r="J42" s="49">
        <v>35.299999999999997</v>
      </c>
      <c r="K42" s="49">
        <v>36.4</v>
      </c>
      <c r="L42" s="49">
        <v>39</v>
      </c>
      <c r="M42" s="49">
        <v>38.5</v>
      </c>
      <c r="N42" s="49">
        <v>38.5</v>
      </c>
      <c r="O42" s="49">
        <v>38</v>
      </c>
      <c r="P42" s="49">
        <v>38</v>
      </c>
      <c r="Q42" s="49">
        <v>37.5</v>
      </c>
      <c r="R42" s="49">
        <v>35</v>
      </c>
      <c r="S42" s="49">
        <v>18.7</v>
      </c>
      <c r="T42" s="49">
        <v>25</v>
      </c>
    </row>
    <row r="43" spans="1:20" s="53" customFormat="1" ht="15.75" customHeight="1" x14ac:dyDescent="0.25">
      <c r="A43" s="62">
        <v>1965</v>
      </c>
      <c r="B43" s="50">
        <v>12</v>
      </c>
      <c r="C43" s="51">
        <f t="shared" si="0"/>
        <v>21.583333333333332</v>
      </c>
      <c r="D43" s="51">
        <f t="shared" si="1"/>
        <v>259</v>
      </c>
      <c r="E43" s="49">
        <v>1166.55</v>
      </c>
      <c r="F43" s="49">
        <f t="shared" si="2"/>
        <v>54.048648648648651</v>
      </c>
      <c r="G43" s="52">
        <f t="shared" si="3"/>
        <v>1.8501850185018501E-2</v>
      </c>
      <c r="I43" s="49">
        <v>25</v>
      </c>
      <c r="J43" s="49">
        <v>25</v>
      </c>
      <c r="K43" s="49">
        <v>26.4</v>
      </c>
      <c r="L43" s="49">
        <v>27</v>
      </c>
      <c r="M43" s="49">
        <v>27</v>
      </c>
      <c r="N43" s="49">
        <v>27</v>
      </c>
      <c r="O43" s="49">
        <v>27</v>
      </c>
      <c r="P43" s="49">
        <v>27</v>
      </c>
      <c r="Q43" s="49">
        <v>26.1</v>
      </c>
      <c r="R43" s="49">
        <v>21.5</v>
      </c>
      <c r="S43" s="49">
        <v>0</v>
      </c>
      <c r="T43" s="49">
        <v>0</v>
      </c>
    </row>
    <row r="44" spans="1:20" s="53" customFormat="1" ht="15.75" customHeight="1" x14ac:dyDescent="0.25">
      <c r="A44" s="62">
        <v>1966</v>
      </c>
      <c r="B44" s="50">
        <v>12</v>
      </c>
      <c r="C44" s="51">
        <f t="shared" si="0"/>
        <v>18.541666666666668</v>
      </c>
      <c r="D44" s="51">
        <f t="shared" si="1"/>
        <v>222.50000000000003</v>
      </c>
      <c r="E44" s="49">
        <v>1166.55</v>
      </c>
      <c r="F44" s="49">
        <f t="shared" si="2"/>
        <v>62.915056179775277</v>
      </c>
      <c r="G44" s="52">
        <f t="shared" si="3"/>
        <v>1.5894446587515897E-2</v>
      </c>
      <c r="I44" s="49">
        <v>0</v>
      </c>
      <c r="J44" s="49">
        <v>20</v>
      </c>
      <c r="K44" s="49">
        <v>21.4</v>
      </c>
      <c r="L44" s="49">
        <v>22</v>
      </c>
      <c r="M44" s="49">
        <v>22</v>
      </c>
      <c r="N44" s="49">
        <v>22</v>
      </c>
      <c r="O44" s="49">
        <v>22</v>
      </c>
      <c r="P44" s="49">
        <v>22</v>
      </c>
      <c r="Q44" s="49">
        <v>21.3</v>
      </c>
      <c r="R44" s="49">
        <v>3</v>
      </c>
      <c r="S44" s="49">
        <v>23.4</v>
      </c>
      <c r="T44" s="49">
        <v>23.4</v>
      </c>
    </row>
    <row r="45" spans="1:20" s="53" customFormat="1" ht="15.75" customHeight="1" x14ac:dyDescent="0.25">
      <c r="A45" s="62">
        <v>1967</v>
      </c>
      <c r="B45" s="50">
        <v>12</v>
      </c>
      <c r="C45" s="51">
        <f t="shared" si="0"/>
        <v>30.55</v>
      </c>
      <c r="D45" s="51">
        <f t="shared" si="1"/>
        <v>366.6</v>
      </c>
      <c r="E45" s="49">
        <v>1166.55</v>
      </c>
      <c r="F45" s="49">
        <f t="shared" si="2"/>
        <v>38.184942716857606</v>
      </c>
      <c r="G45" s="52">
        <f t="shared" si="3"/>
        <v>2.6188333119026189E-2</v>
      </c>
      <c r="I45" s="49">
        <v>34</v>
      </c>
      <c r="J45" s="49">
        <v>32.5</v>
      </c>
      <c r="K45" s="49">
        <v>34.1</v>
      </c>
      <c r="L45" s="49">
        <v>34.799999999999997</v>
      </c>
      <c r="M45" s="49">
        <v>34</v>
      </c>
      <c r="N45" s="49">
        <v>34</v>
      </c>
      <c r="O45" s="49">
        <v>34</v>
      </c>
      <c r="P45" s="49">
        <v>34</v>
      </c>
      <c r="Q45" s="49">
        <v>34</v>
      </c>
      <c r="R45" s="49">
        <v>32.1</v>
      </c>
      <c r="S45" s="49">
        <v>16.5</v>
      </c>
      <c r="T45" s="49">
        <v>12.6</v>
      </c>
    </row>
    <row r="46" spans="1:20" s="53" customFormat="1" ht="15.75" customHeight="1" x14ac:dyDescent="0.25">
      <c r="A46" s="62">
        <v>1968</v>
      </c>
      <c r="B46" s="50">
        <v>12</v>
      </c>
      <c r="C46" s="51">
        <f t="shared" si="0"/>
        <v>40.875</v>
      </c>
      <c r="D46" s="51">
        <f t="shared" si="1"/>
        <v>490.5</v>
      </c>
      <c r="E46" s="49">
        <v>1166.55</v>
      </c>
      <c r="F46" s="49">
        <f t="shared" si="2"/>
        <v>28.539449541284402</v>
      </c>
      <c r="G46" s="52">
        <f t="shared" si="3"/>
        <v>3.5039218207535042E-2</v>
      </c>
      <c r="I46" s="49">
        <v>21</v>
      </c>
      <c r="J46" s="49">
        <v>21</v>
      </c>
      <c r="K46" s="49">
        <v>43.2</v>
      </c>
      <c r="L46" s="49">
        <v>45</v>
      </c>
      <c r="M46" s="49">
        <v>51</v>
      </c>
      <c r="N46" s="49">
        <v>50.1</v>
      </c>
      <c r="O46" s="49">
        <v>50</v>
      </c>
      <c r="P46" s="49">
        <v>50.6</v>
      </c>
      <c r="Q46" s="49">
        <v>51</v>
      </c>
      <c r="R46" s="49">
        <v>48</v>
      </c>
      <c r="S46" s="49">
        <v>31.6</v>
      </c>
      <c r="T46" s="49">
        <v>28</v>
      </c>
    </row>
    <row r="47" spans="1:20" s="53" customFormat="1" ht="15.75" customHeight="1" x14ac:dyDescent="0.25">
      <c r="A47" s="62">
        <v>1969</v>
      </c>
      <c r="B47" s="50">
        <v>12</v>
      </c>
      <c r="C47" s="51">
        <f t="shared" si="0"/>
        <v>28.991666666666671</v>
      </c>
      <c r="D47" s="51">
        <f t="shared" si="1"/>
        <v>347.90000000000003</v>
      </c>
      <c r="E47" s="49">
        <v>1166.55</v>
      </c>
      <c r="F47" s="49">
        <f t="shared" si="2"/>
        <v>40.237424547283695</v>
      </c>
      <c r="G47" s="52">
        <f t="shared" si="3"/>
        <v>2.4852485248524857E-2</v>
      </c>
      <c r="I47" s="49">
        <v>28</v>
      </c>
      <c r="J47" s="49">
        <v>28</v>
      </c>
      <c r="K47" s="49">
        <v>30.1</v>
      </c>
      <c r="L47" s="49">
        <v>31</v>
      </c>
      <c r="M47" s="49">
        <v>31</v>
      </c>
      <c r="N47" s="49">
        <v>31</v>
      </c>
      <c r="O47" s="49">
        <v>31</v>
      </c>
      <c r="P47" s="49">
        <v>31</v>
      </c>
      <c r="Q47" s="49">
        <v>31</v>
      </c>
      <c r="R47" s="49">
        <v>28</v>
      </c>
      <c r="S47" s="49">
        <v>14.8</v>
      </c>
      <c r="T47" s="49">
        <v>33</v>
      </c>
    </row>
    <row r="48" spans="1:20" s="53" customFormat="1" ht="15.75" customHeight="1" x14ac:dyDescent="0.25">
      <c r="A48" s="62">
        <v>1970</v>
      </c>
      <c r="B48" s="50">
        <v>12</v>
      </c>
      <c r="C48" s="51">
        <f t="shared" si="0"/>
        <v>30.808333333333334</v>
      </c>
      <c r="D48" s="51">
        <f t="shared" si="1"/>
        <v>369.7</v>
      </c>
      <c r="E48" s="49">
        <v>1166.55</v>
      </c>
      <c r="F48" s="49">
        <f t="shared" si="2"/>
        <v>37.864755206924535</v>
      </c>
      <c r="G48" s="52">
        <f t="shared" si="3"/>
        <v>2.6409783835526411E-2</v>
      </c>
      <c r="I48" s="49">
        <v>33</v>
      </c>
      <c r="J48" s="49">
        <v>33</v>
      </c>
      <c r="K48" s="49">
        <v>34.4</v>
      </c>
      <c r="L48" s="49">
        <v>35</v>
      </c>
      <c r="M48" s="49">
        <v>35</v>
      </c>
      <c r="N48" s="49">
        <v>34.9</v>
      </c>
      <c r="O48" s="49">
        <v>34</v>
      </c>
      <c r="P48" s="49">
        <v>34</v>
      </c>
      <c r="Q48" s="49">
        <v>34</v>
      </c>
      <c r="R48" s="49">
        <v>14.4</v>
      </c>
      <c r="S48" s="49">
        <v>24</v>
      </c>
      <c r="T48" s="49">
        <v>24</v>
      </c>
    </row>
    <row r="49" spans="1:22" s="53" customFormat="1" ht="15.75" customHeight="1" x14ac:dyDescent="0.25">
      <c r="A49" s="62">
        <v>1971</v>
      </c>
      <c r="B49" s="50">
        <v>12</v>
      </c>
      <c r="C49" s="51">
        <f t="shared" si="0"/>
        <v>25.408333333333331</v>
      </c>
      <c r="D49" s="51">
        <f t="shared" si="1"/>
        <v>304.89999999999998</v>
      </c>
      <c r="E49" s="49">
        <v>1166.55</v>
      </c>
      <c r="F49" s="49">
        <f t="shared" si="2"/>
        <v>45.912102328632344</v>
      </c>
      <c r="G49" s="52">
        <f t="shared" si="3"/>
        <v>2.1780749503521778E-2</v>
      </c>
      <c r="I49" s="49">
        <v>23.8</v>
      </c>
      <c r="J49" s="49">
        <v>23</v>
      </c>
      <c r="K49" s="49">
        <v>24.5</v>
      </c>
      <c r="L49" s="49">
        <v>25</v>
      </c>
      <c r="M49" s="49">
        <v>24.8</v>
      </c>
      <c r="N49" s="49">
        <v>24</v>
      </c>
      <c r="O49" s="49">
        <v>24</v>
      </c>
      <c r="P49" s="49">
        <v>24</v>
      </c>
      <c r="Q49" s="49">
        <v>24</v>
      </c>
      <c r="R49" s="49">
        <v>23.8</v>
      </c>
      <c r="S49" s="49">
        <v>32</v>
      </c>
      <c r="T49" s="49">
        <v>32</v>
      </c>
    </row>
    <row r="50" spans="1:22" s="53" customFormat="1" ht="15.75" customHeight="1" x14ac:dyDescent="0.25">
      <c r="A50" s="62">
        <v>1972</v>
      </c>
      <c r="B50" s="50">
        <v>12</v>
      </c>
      <c r="C50" s="51">
        <f t="shared" si="0"/>
        <v>31.616666666666671</v>
      </c>
      <c r="D50" s="51">
        <f t="shared" si="1"/>
        <v>379.40000000000003</v>
      </c>
      <c r="E50" s="49">
        <v>1166.55</v>
      </c>
      <c r="F50" s="49">
        <f t="shared" si="2"/>
        <v>36.896678966789665</v>
      </c>
      <c r="G50" s="52">
        <f t="shared" si="3"/>
        <v>2.7102710271027106E-2</v>
      </c>
      <c r="I50" s="49">
        <v>32</v>
      </c>
      <c r="J50" s="49">
        <v>32</v>
      </c>
      <c r="K50" s="49">
        <v>32.6</v>
      </c>
      <c r="L50" s="49">
        <v>33</v>
      </c>
      <c r="M50" s="49">
        <v>33</v>
      </c>
      <c r="N50" s="49">
        <v>32</v>
      </c>
      <c r="O50" s="49">
        <v>32</v>
      </c>
      <c r="P50" s="49">
        <v>32</v>
      </c>
      <c r="Q50" s="49">
        <v>32</v>
      </c>
      <c r="R50" s="49">
        <v>31.6</v>
      </c>
      <c r="S50" s="49">
        <v>31</v>
      </c>
      <c r="T50" s="49">
        <v>26.2</v>
      </c>
    </row>
    <row r="51" spans="1:22" s="53" customFormat="1" ht="15.75" customHeight="1" x14ac:dyDescent="0.25">
      <c r="A51" s="62">
        <v>1973</v>
      </c>
      <c r="B51" s="50">
        <v>12</v>
      </c>
      <c r="C51" s="51">
        <f t="shared" si="0"/>
        <v>27.866666666666664</v>
      </c>
      <c r="D51" s="51">
        <f t="shared" si="1"/>
        <v>334.4</v>
      </c>
      <c r="E51" s="49">
        <v>1166.55</v>
      </c>
      <c r="F51" s="49">
        <f t="shared" si="2"/>
        <v>41.861842105263158</v>
      </c>
      <c r="G51" s="52">
        <f t="shared" si="3"/>
        <v>2.3888103096023888E-2</v>
      </c>
      <c r="I51" s="49">
        <v>13.9</v>
      </c>
      <c r="J51" s="49">
        <v>30.3</v>
      </c>
      <c r="K51" s="49">
        <v>32.700000000000003</v>
      </c>
      <c r="L51" s="49">
        <v>33</v>
      </c>
      <c r="M51" s="49">
        <v>33</v>
      </c>
      <c r="N51" s="49">
        <v>33</v>
      </c>
      <c r="O51" s="49">
        <v>33</v>
      </c>
      <c r="P51" s="49">
        <v>33</v>
      </c>
      <c r="Q51" s="49">
        <v>33</v>
      </c>
      <c r="R51" s="49">
        <v>19.600000000000001</v>
      </c>
      <c r="S51" s="49">
        <v>13.9</v>
      </c>
      <c r="T51" s="49">
        <v>26</v>
      </c>
    </row>
    <row r="52" spans="1:22" s="53" customFormat="1" ht="15.75" customHeight="1" x14ac:dyDescent="0.25">
      <c r="A52" s="62">
        <v>1974</v>
      </c>
      <c r="B52" s="50">
        <v>12</v>
      </c>
      <c r="C52" s="51">
        <f t="shared" si="0"/>
        <v>22.791666666666668</v>
      </c>
      <c r="D52" s="51">
        <f t="shared" si="1"/>
        <v>273.5</v>
      </c>
      <c r="E52" s="49">
        <v>1166.55</v>
      </c>
      <c r="F52" s="49">
        <f t="shared" si="2"/>
        <v>51.183180987202917</v>
      </c>
      <c r="G52" s="52">
        <f t="shared" si="3"/>
        <v>1.9537668052519538E-2</v>
      </c>
      <c r="I52" s="49">
        <v>26</v>
      </c>
      <c r="J52" s="49">
        <v>26</v>
      </c>
      <c r="K52" s="49">
        <v>12.6</v>
      </c>
      <c r="L52" s="49">
        <v>17.5</v>
      </c>
      <c r="M52" s="49">
        <v>18</v>
      </c>
      <c r="N52" s="49">
        <v>18.8</v>
      </c>
      <c r="O52" s="49">
        <v>22.7</v>
      </c>
      <c r="P52" s="49">
        <v>23</v>
      </c>
      <c r="Q52" s="49">
        <v>22.1</v>
      </c>
      <c r="R52" s="49">
        <v>22.8</v>
      </c>
      <c r="S52" s="49">
        <v>30</v>
      </c>
      <c r="T52" s="49">
        <v>34</v>
      </c>
    </row>
    <row r="53" spans="1:22" s="53" customFormat="1" ht="15.75" customHeight="1" x14ac:dyDescent="0.25">
      <c r="A53" s="62">
        <v>1975</v>
      </c>
      <c r="B53" s="50">
        <v>12</v>
      </c>
      <c r="C53" s="51">
        <f t="shared" si="0"/>
        <v>26.700000000000003</v>
      </c>
      <c r="D53" s="51">
        <f t="shared" si="1"/>
        <v>320.40000000000003</v>
      </c>
      <c r="E53" s="49">
        <v>1166.55</v>
      </c>
      <c r="F53" s="49">
        <f t="shared" si="2"/>
        <v>43.691011235955052</v>
      </c>
      <c r="G53" s="52">
        <f t="shared" si="3"/>
        <v>2.2888003086022891E-2</v>
      </c>
      <c r="I53" s="49">
        <v>34</v>
      </c>
      <c r="J53" s="49">
        <v>34</v>
      </c>
      <c r="K53" s="49">
        <v>23.9</v>
      </c>
      <c r="L53" s="49">
        <v>23</v>
      </c>
      <c r="M53" s="49">
        <v>23.3</v>
      </c>
      <c r="N53" s="49">
        <v>24</v>
      </c>
      <c r="O53" s="49">
        <v>25</v>
      </c>
      <c r="P53" s="49">
        <v>25</v>
      </c>
      <c r="Q53" s="49">
        <v>25</v>
      </c>
      <c r="R53" s="49">
        <v>22.7</v>
      </c>
      <c r="S53" s="49">
        <v>30</v>
      </c>
      <c r="T53" s="49">
        <v>30.5</v>
      </c>
    </row>
    <row r="54" spans="1:22" s="53" customFormat="1" ht="15.75" customHeight="1" x14ac:dyDescent="0.25">
      <c r="A54" s="62">
        <v>1976</v>
      </c>
      <c r="B54" s="50">
        <v>12</v>
      </c>
      <c r="C54" s="51">
        <f t="shared" si="0"/>
        <v>18.983333333333334</v>
      </c>
      <c r="D54" s="51">
        <f t="shared" si="1"/>
        <v>227.8</v>
      </c>
      <c r="E54" s="49">
        <v>1166.55</v>
      </c>
      <c r="F54" s="49">
        <f t="shared" si="2"/>
        <v>61.451273046532037</v>
      </c>
      <c r="G54" s="52">
        <f t="shared" si="3"/>
        <v>1.6273055877016274E-2</v>
      </c>
      <c r="I54" s="49">
        <v>44</v>
      </c>
      <c r="J54" s="49">
        <v>44</v>
      </c>
      <c r="K54" s="49">
        <v>35.9</v>
      </c>
      <c r="L54" s="49">
        <v>35</v>
      </c>
      <c r="M54" s="49">
        <v>34.700000000000003</v>
      </c>
      <c r="N54" s="49">
        <v>34.200000000000003</v>
      </c>
      <c r="O54" s="49"/>
      <c r="P54" s="49"/>
      <c r="Q54" s="49"/>
      <c r="R54" s="49"/>
      <c r="S54" s="49"/>
      <c r="T54" s="49"/>
    </row>
    <row r="55" spans="1:22" s="53" customFormat="1" ht="15.75" customHeight="1" x14ac:dyDescent="0.25">
      <c r="A55" s="62">
        <v>1977</v>
      </c>
      <c r="B55" s="50">
        <v>12</v>
      </c>
      <c r="C55" s="51"/>
      <c r="D55" s="51"/>
      <c r="E55" s="49">
        <v>1166.55</v>
      </c>
      <c r="F55" s="49"/>
      <c r="G55" s="52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2" s="53" customFormat="1" ht="15.75" customHeight="1" x14ac:dyDescent="0.25">
      <c r="A56" s="62">
        <v>1978</v>
      </c>
      <c r="B56" s="50">
        <v>12</v>
      </c>
      <c r="C56" s="51"/>
      <c r="D56" s="51"/>
      <c r="E56" s="49">
        <v>1166.55</v>
      </c>
      <c r="F56" s="49"/>
      <c r="G56" s="52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</row>
    <row r="57" spans="1:22" s="53" customFormat="1" ht="15.75" customHeight="1" x14ac:dyDescent="0.25">
      <c r="A57" s="62">
        <v>1979</v>
      </c>
      <c r="B57" s="50">
        <v>12</v>
      </c>
      <c r="C57" s="51"/>
      <c r="D57" s="51"/>
      <c r="E57" s="49">
        <v>1166.55</v>
      </c>
      <c r="F57" s="49"/>
      <c r="G57" s="52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</row>
    <row r="58" spans="1:22" s="53" customFormat="1" ht="15.75" customHeight="1" x14ac:dyDescent="0.25">
      <c r="A58" s="62">
        <v>1980</v>
      </c>
      <c r="B58" s="50">
        <v>12</v>
      </c>
      <c r="C58" s="51"/>
      <c r="D58" s="51"/>
      <c r="E58" s="49">
        <v>1166.55</v>
      </c>
      <c r="F58" s="49"/>
      <c r="G58" s="52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</row>
    <row r="59" spans="1:22" s="53" customFormat="1" ht="15.75" customHeight="1" x14ac:dyDescent="0.25">
      <c r="A59" s="62">
        <v>1981</v>
      </c>
      <c r="B59" s="50">
        <v>12</v>
      </c>
      <c r="C59" s="51"/>
      <c r="D59" s="51"/>
      <c r="E59" s="49">
        <v>1166.55</v>
      </c>
      <c r="F59" s="49"/>
      <c r="G59" s="52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21.666666666666668</v>
      </c>
      <c r="D60" s="51">
        <f t="shared" si="1"/>
        <v>260</v>
      </c>
      <c r="E60" s="49">
        <v>1166.55</v>
      </c>
      <c r="F60" s="49">
        <f t="shared" si="2"/>
        <v>53.840769230769226</v>
      </c>
      <c r="G60" s="52">
        <f t="shared" si="3"/>
        <v>1.8573285900018575E-2</v>
      </c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>
        <v>130</v>
      </c>
      <c r="T60" s="49">
        <v>130</v>
      </c>
      <c r="V60" s="48"/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127.5</v>
      </c>
      <c r="D61" s="51">
        <f t="shared" si="1"/>
        <v>1530</v>
      </c>
      <c r="E61" s="49">
        <v>763.69</v>
      </c>
      <c r="F61" s="49">
        <f t="shared" si="2"/>
        <v>5.9897254901960792</v>
      </c>
      <c r="G61" s="52">
        <f t="shared" si="3"/>
        <v>0.16695255928452643</v>
      </c>
      <c r="I61" s="49">
        <v>130</v>
      </c>
      <c r="J61" s="49">
        <v>130</v>
      </c>
      <c r="K61" s="49">
        <v>130</v>
      </c>
      <c r="L61" s="49">
        <v>130</v>
      </c>
      <c r="M61" s="49">
        <v>130</v>
      </c>
      <c r="N61" s="49">
        <v>130</v>
      </c>
      <c r="O61" s="49">
        <v>130</v>
      </c>
      <c r="P61" s="49">
        <v>130</v>
      </c>
      <c r="Q61" s="49">
        <v>130</v>
      </c>
      <c r="R61" s="49">
        <v>130</v>
      </c>
      <c r="S61" s="49">
        <v>115</v>
      </c>
      <c r="T61" s="49">
        <v>115</v>
      </c>
      <c r="V61" s="48"/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118</v>
      </c>
      <c r="D62" s="51">
        <f t="shared" si="1"/>
        <v>1416</v>
      </c>
      <c r="E62" s="49">
        <v>763.69</v>
      </c>
      <c r="F62" s="49">
        <f t="shared" si="2"/>
        <v>6.4719491525423729</v>
      </c>
      <c r="G62" s="52">
        <f t="shared" si="3"/>
        <v>0.15451295682803232</v>
      </c>
      <c r="I62" s="49">
        <v>115</v>
      </c>
      <c r="J62" s="49">
        <v>115</v>
      </c>
      <c r="K62" s="49">
        <v>121</v>
      </c>
      <c r="L62" s="49">
        <v>121</v>
      </c>
      <c r="M62" s="49">
        <v>121</v>
      </c>
      <c r="N62" s="49">
        <v>121</v>
      </c>
      <c r="O62" s="49">
        <v>121</v>
      </c>
      <c r="P62" s="49">
        <v>121</v>
      </c>
      <c r="Q62" s="49">
        <v>121</v>
      </c>
      <c r="R62" s="49">
        <v>121</v>
      </c>
      <c r="S62" s="49">
        <v>109</v>
      </c>
      <c r="T62" s="49">
        <v>109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113</v>
      </c>
      <c r="D63" s="51">
        <f t="shared" si="1"/>
        <v>1356</v>
      </c>
      <c r="E63" s="49">
        <v>763.69</v>
      </c>
      <c r="F63" s="49">
        <f t="shared" si="2"/>
        <v>6.7583185840707971</v>
      </c>
      <c r="G63" s="52">
        <f t="shared" si="3"/>
        <v>0.14796579764040382</v>
      </c>
      <c r="I63" s="49">
        <v>109</v>
      </c>
      <c r="J63" s="49">
        <v>109</v>
      </c>
      <c r="K63" s="49">
        <v>115</v>
      </c>
      <c r="L63" s="49">
        <v>115</v>
      </c>
      <c r="M63" s="49">
        <v>115</v>
      </c>
      <c r="N63" s="49">
        <v>115</v>
      </c>
      <c r="O63" s="49">
        <v>115</v>
      </c>
      <c r="P63" s="49">
        <v>115</v>
      </c>
      <c r="Q63" s="49">
        <v>115</v>
      </c>
      <c r="R63" s="49">
        <v>115</v>
      </c>
      <c r="S63" s="49">
        <v>109</v>
      </c>
      <c r="T63" s="49">
        <v>109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111.5</v>
      </c>
      <c r="D64" s="51">
        <f t="shared" si="1"/>
        <v>1338</v>
      </c>
      <c r="E64" s="49">
        <v>763.69</v>
      </c>
      <c r="F64" s="49">
        <f t="shared" si="2"/>
        <v>6.8492376681614351</v>
      </c>
      <c r="G64" s="52">
        <f t="shared" si="3"/>
        <v>0.14600164988411526</v>
      </c>
      <c r="I64" s="49">
        <v>109</v>
      </c>
      <c r="J64" s="49">
        <v>109</v>
      </c>
      <c r="K64" s="49">
        <v>115</v>
      </c>
      <c r="L64" s="49">
        <v>115</v>
      </c>
      <c r="M64" s="49">
        <v>115</v>
      </c>
      <c r="N64" s="49">
        <v>115</v>
      </c>
      <c r="O64" s="49">
        <v>115</v>
      </c>
      <c r="P64" s="49">
        <v>115</v>
      </c>
      <c r="Q64" s="49">
        <v>115</v>
      </c>
      <c r="R64" s="49">
        <v>115</v>
      </c>
      <c r="S64" s="49">
        <v>100</v>
      </c>
      <c r="T64" s="49">
        <v>100</v>
      </c>
    </row>
    <row r="65" spans="1:20" s="53" customFormat="1" ht="15.75" customHeight="1" x14ac:dyDescent="0.25">
      <c r="A65" s="50">
        <v>1987</v>
      </c>
      <c r="B65" s="50">
        <v>12</v>
      </c>
      <c r="C65" s="51">
        <f t="shared" si="0"/>
        <v>87.333333333333329</v>
      </c>
      <c r="D65" s="51">
        <f t="shared" si="1"/>
        <v>1048</v>
      </c>
      <c r="E65" s="49">
        <v>763.69</v>
      </c>
      <c r="F65" s="49">
        <f t="shared" si="2"/>
        <v>8.744541984732825</v>
      </c>
      <c r="G65" s="52">
        <f t="shared" si="3"/>
        <v>0.11435704714391091</v>
      </c>
      <c r="I65" s="49">
        <v>100</v>
      </c>
      <c r="J65" s="49">
        <v>100</v>
      </c>
      <c r="K65" s="49">
        <v>106</v>
      </c>
      <c r="L65" s="49">
        <v>106</v>
      </c>
      <c r="M65" s="49">
        <v>106</v>
      </c>
      <c r="N65" s="49">
        <v>106</v>
      </c>
      <c r="O65" s="49">
        <v>106</v>
      </c>
      <c r="P65" s="49">
        <v>106</v>
      </c>
      <c r="Q65" s="49">
        <v>106</v>
      </c>
      <c r="R65" s="49">
        <v>106</v>
      </c>
      <c r="S65" s="49"/>
      <c r="T65" s="49"/>
    </row>
    <row r="66" spans="1:20" s="53" customFormat="1" ht="15.75" customHeight="1" x14ac:dyDescent="0.25">
      <c r="A66" s="50">
        <v>1988</v>
      </c>
      <c r="B66" s="50">
        <v>12</v>
      </c>
      <c r="C66" s="51">
        <f t="shared" si="0"/>
        <v>8.3333333333333339</v>
      </c>
      <c r="D66" s="51">
        <f t="shared" si="1"/>
        <v>100</v>
      </c>
      <c r="E66" s="49">
        <v>763.69</v>
      </c>
      <c r="F66" s="49">
        <f t="shared" si="2"/>
        <v>91.642799999999994</v>
      </c>
      <c r="G66" s="52">
        <f t="shared" si="3"/>
        <v>1.0911931979380814E-2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50</v>
      </c>
      <c r="T66" s="49">
        <v>50</v>
      </c>
    </row>
    <row r="67" spans="1:20" s="53" customFormat="1" ht="15.75" customHeight="1" x14ac:dyDescent="0.25">
      <c r="A67" s="50">
        <v>1989</v>
      </c>
      <c r="B67" s="50">
        <v>12</v>
      </c>
      <c r="C67" s="51">
        <f t="shared" si="0"/>
        <v>53.833333333333336</v>
      </c>
      <c r="D67" s="51">
        <f t="shared" si="1"/>
        <v>646</v>
      </c>
      <c r="E67" s="49">
        <v>763.69</v>
      </c>
      <c r="F67" s="49">
        <f t="shared" si="2"/>
        <v>14.186191950464396</v>
      </c>
      <c r="G67" s="52">
        <f t="shared" si="3"/>
        <v>7.0491080586800051E-2</v>
      </c>
      <c r="I67" s="49">
        <v>50</v>
      </c>
      <c r="J67" s="49">
        <v>50</v>
      </c>
      <c r="K67" s="49">
        <v>54.5</v>
      </c>
      <c r="L67" s="49">
        <v>54.5</v>
      </c>
      <c r="M67" s="49">
        <v>54.5</v>
      </c>
      <c r="N67" s="49">
        <v>54.5</v>
      </c>
      <c r="O67" s="49">
        <v>54.5</v>
      </c>
      <c r="P67" s="49">
        <v>54.5</v>
      </c>
      <c r="Q67" s="49">
        <v>54.5</v>
      </c>
      <c r="R67" s="49">
        <v>54.5</v>
      </c>
      <c r="S67" s="49">
        <v>55</v>
      </c>
      <c r="T67" s="49">
        <v>55</v>
      </c>
    </row>
    <row r="68" spans="1:20" s="53" customFormat="1" ht="15.75" customHeight="1" x14ac:dyDescent="0.25">
      <c r="A68" s="50">
        <v>1990</v>
      </c>
      <c r="B68" s="50">
        <v>12</v>
      </c>
      <c r="C68" s="51">
        <f t="shared" ref="C68:C88" si="4">D68/B68</f>
        <v>58</v>
      </c>
      <c r="D68" s="51">
        <f t="shared" ref="D68:D88" si="5">SUM(I68:T68)</f>
        <v>696</v>
      </c>
      <c r="E68" s="49">
        <v>763.69</v>
      </c>
      <c r="F68" s="49">
        <f t="shared" ref="F68:F88" si="6">E68/C68</f>
        <v>13.167068965517242</v>
      </c>
      <c r="G68" s="52">
        <f t="shared" ref="G68:G88" si="7">C68/E68</f>
        <v>7.5947046576490457E-2</v>
      </c>
      <c r="I68" s="49">
        <v>55</v>
      </c>
      <c r="J68" s="49">
        <v>55</v>
      </c>
      <c r="K68" s="49">
        <v>59.5</v>
      </c>
      <c r="L68" s="49">
        <v>59.5</v>
      </c>
      <c r="M68" s="49">
        <v>59.5</v>
      </c>
      <c r="N68" s="49">
        <v>59.5</v>
      </c>
      <c r="O68" s="49">
        <v>59.5</v>
      </c>
      <c r="P68" s="49">
        <v>59.5</v>
      </c>
      <c r="Q68" s="49">
        <v>59.5</v>
      </c>
      <c r="R68" s="49">
        <v>59.5</v>
      </c>
      <c r="S68" s="49">
        <v>55</v>
      </c>
      <c r="T68" s="49">
        <v>55</v>
      </c>
    </row>
    <row r="69" spans="1:20" s="53" customFormat="1" ht="15.75" customHeight="1" x14ac:dyDescent="0.25">
      <c r="A69" s="50">
        <v>1991</v>
      </c>
      <c r="B69" s="50">
        <v>12</v>
      </c>
      <c r="C69" s="51">
        <f t="shared" si="4"/>
        <v>56.166666666666664</v>
      </c>
      <c r="D69" s="51">
        <f t="shared" si="5"/>
        <v>674</v>
      </c>
      <c r="E69" s="49">
        <v>763.69</v>
      </c>
      <c r="F69" s="49">
        <f t="shared" si="6"/>
        <v>13.59685459940653</v>
      </c>
      <c r="G69" s="52">
        <f t="shared" si="7"/>
        <v>7.3546421541026669E-2</v>
      </c>
      <c r="I69" s="49">
        <v>55</v>
      </c>
      <c r="J69" s="49">
        <v>55</v>
      </c>
      <c r="K69" s="49">
        <v>58</v>
      </c>
      <c r="L69" s="49">
        <v>58</v>
      </c>
      <c r="M69" s="49">
        <v>58</v>
      </c>
      <c r="N69" s="49">
        <v>58</v>
      </c>
      <c r="O69" s="49">
        <v>58</v>
      </c>
      <c r="P69" s="49">
        <v>58</v>
      </c>
      <c r="Q69" s="49">
        <v>58</v>
      </c>
      <c r="R69" s="49">
        <v>58</v>
      </c>
      <c r="S69" s="49">
        <v>50</v>
      </c>
      <c r="T69" s="49">
        <v>50</v>
      </c>
    </row>
    <row r="70" spans="1:20" s="53" customFormat="1" ht="15.75" customHeight="1" x14ac:dyDescent="0.25">
      <c r="A70" s="50">
        <v>1992</v>
      </c>
      <c r="B70" s="50">
        <v>12</v>
      </c>
      <c r="C70" s="51">
        <f t="shared" si="4"/>
        <v>52</v>
      </c>
      <c r="D70" s="51">
        <f t="shared" si="5"/>
        <v>624</v>
      </c>
      <c r="E70" s="49">
        <v>763.69</v>
      </c>
      <c r="F70" s="49">
        <f t="shared" si="6"/>
        <v>14.686346153846156</v>
      </c>
      <c r="G70" s="52">
        <f t="shared" si="7"/>
        <v>6.8090455551336276E-2</v>
      </c>
      <c r="I70" s="49">
        <v>50</v>
      </c>
      <c r="J70" s="49">
        <v>50</v>
      </c>
      <c r="K70" s="49">
        <v>53</v>
      </c>
      <c r="L70" s="49">
        <v>53</v>
      </c>
      <c r="M70" s="49">
        <v>53</v>
      </c>
      <c r="N70" s="49">
        <v>53</v>
      </c>
      <c r="O70" s="49">
        <v>53</v>
      </c>
      <c r="P70" s="49">
        <v>53</v>
      </c>
      <c r="Q70" s="49">
        <v>53</v>
      </c>
      <c r="R70" s="49">
        <v>53</v>
      </c>
      <c r="S70" s="49">
        <v>50</v>
      </c>
      <c r="T70" s="49">
        <v>50</v>
      </c>
    </row>
    <row r="71" spans="1:20" s="53" customFormat="1" ht="15.75" customHeight="1" x14ac:dyDescent="0.25">
      <c r="A71" s="50">
        <v>1993</v>
      </c>
      <c r="B71" s="50">
        <v>12</v>
      </c>
      <c r="C71" s="51">
        <f t="shared" si="4"/>
        <v>54.666666666666664</v>
      </c>
      <c r="D71" s="51">
        <f t="shared" si="5"/>
        <v>656</v>
      </c>
      <c r="E71" s="49">
        <v>763.69</v>
      </c>
      <c r="F71" s="49">
        <f t="shared" si="6"/>
        <v>13.969939024390246</v>
      </c>
      <c r="G71" s="52">
        <f t="shared" si="7"/>
        <v>7.1582273784738124E-2</v>
      </c>
      <c r="I71" s="49">
        <v>50</v>
      </c>
      <c r="J71" s="49">
        <v>50</v>
      </c>
      <c r="K71" s="49">
        <v>54.5</v>
      </c>
      <c r="L71" s="49">
        <v>54.5</v>
      </c>
      <c r="M71" s="49">
        <v>54.5</v>
      </c>
      <c r="N71" s="49">
        <v>54.5</v>
      </c>
      <c r="O71" s="49">
        <v>54.5</v>
      </c>
      <c r="P71" s="49">
        <v>54.5</v>
      </c>
      <c r="Q71" s="49">
        <v>54.5</v>
      </c>
      <c r="R71" s="49">
        <v>54.5</v>
      </c>
      <c r="S71" s="49">
        <v>60</v>
      </c>
      <c r="T71" s="49">
        <v>60</v>
      </c>
    </row>
    <row r="72" spans="1:20" s="53" customFormat="1" ht="15.75" customHeight="1" x14ac:dyDescent="0.25">
      <c r="A72" s="50">
        <v>1994</v>
      </c>
      <c r="B72" s="50">
        <v>12</v>
      </c>
      <c r="C72" s="51">
        <f t="shared" si="4"/>
        <v>63.833333333333336</v>
      </c>
      <c r="D72" s="51">
        <f t="shared" si="5"/>
        <v>766</v>
      </c>
      <c r="E72" s="49">
        <v>763.69</v>
      </c>
      <c r="F72" s="49">
        <f t="shared" si="6"/>
        <v>11.963812010443865</v>
      </c>
      <c r="G72" s="52">
        <f t="shared" si="7"/>
        <v>8.3585398962057023E-2</v>
      </c>
      <c r="I72" s="49">
        <v>60</v>
      </c>
      <c r="J72" s="49">
        <v>60</v>
      </c>
      <c r="K72" s="49">
        <v>64.5</v>
      </c>
      <c r="L72" s="49">
        <v>64.5</v>
      </c>
      <c r="M72" s="49">
        <v>64.5</v>
      </c>
      <c r="N72" s="49">
        <v>64.5</v>
      </c>
      <c r="O72" s="49">
        <v>64.5</v>
      </c>
      <c r="P72" s="49">
        <v>64.5</v>
      </c>
      <c r="Q72" s="49">
        <v>64.5</v>
      </c>
      <c r="R72" s="49">
        <v>64.5</v>
      </c>
      <c r="S72" s="49">
        <v>65</v>
      </c>
      <c r="T72" s="49">
        <v>65</v>
      </c>
    </row>
    <row r="73" spans="1:20" s="53" customFormat="1" ht="15.75" customHeight="1" x14ac:dyDescent="0.25">
      <c r="A73" s="50">
        <v>1995</v>
      </c>
      <c r="B73" s="50">
        <v>12</v>
      </c>
      <c r="C73" s="51">
        <f t="shared" si="4"/>
        <v>67.166666666666671</v>
      </c>
      <c r="D73" s="51">
        <f t="shared" si="5"/>
        <v>806</v>
      </c>
      <c r="E73" s="49">
        <v>763.69</v>
      </c>
      <c r="F73" s="49">
        <f t="shared" si="6"/>
        <v>11.370074441687345</v>
      </c>
      <c r="G73" s="52">
        <f t="shared" si="7"/>
        <v>8.7950171753809356E-2</v>
      </c>
      <c r="I73" s="49">
        <v>65</v>
      </c>
      <c r="J73" s="49">
        <v>65</v>
      </c>
      <c r="K73" s="49">
        <v>69.5</v>
      </c>
      <c r="L73" s="49">
        <v>69.5</v>
      </c>
      <c r="M73" s="49">
        <v>69.5</v>
      </c>
      <c r="N73" s="49">
        <v>69.5</v>
      </c>
      <c r="O73" s="49">
        <v>69.5</v>
      </c>
      <c r="P73" s="49">
        <v>69.5</v>
      </c>
      <c r="Q73" s="49">
        <v>69.5</v>
      </c>
      <c r="R73" s="49">
        <v>69.5</v>
      </c>
      <c r="S73" s="49">
        <v>60</v>
      </c>
      <c r="T73" s="49">
        <v>60</v>
      </c>
    </row>
    <row r="74" spans="1:20" s="53" customFormat="1" ht="15.75" customHeight="1" x14ac:dyDescent="0.25">
      <c r="A74" s="50">
        <v>1996</v>
      </c>
      <c r="B74" s="50">
        <v>12</v>
      </c>
      <c r="C74" s="51">
        <f t="shared" si="4"/>
        <v>65.583333333333329</v>
      </c>
      <c r="D74" s="51">
        <f t="shared" si="5"/>
        <v>787</v>
      </c>
      <c r="E74" s="49">
        <v>763.69</v>
      </c>
      <c r="F74" s="49">
        <f t="shared" si="6"/>
        <v>11.644574332909785</v>
      </c>
      <c r="G74" s="52">
        <f t="shared" si="7"/>
        <v>8.587690467772699E-2</v>
      </c>
      <c r="I74" s="49">
        <v>60</v>
      </c>
      <c r="J74" s="49">
        <v>60</v>
      </c>
      <c r="K74" s="49">
        <v>66</v>
      </c>
      <c r="L74" s="49">
        <v>66</v>
      </c>
      <c r="M74" s="49">
        <v>66</v>
      </c>
      <c r="N74" s="49">
        <v>66</v>
      </c>
      <c r="O74" s="49">
        <v>66</v>
      </c>
      <c r="P74" s="49">
        <v>66</v>
      </c>
      <c r="Q74" s="49">
        <v>66</v>
      </c>
      <c r="R74" s="49">
        <v>66</v>
      </c>
      <c r="S74" s="49">
        <v>69.5</v>
      </c>
      <c r="T74" s="49">
        <v>69.5</v>
      </c>
    </row>
    <row r="75" spans="1:20" s="53" customFormat="1" ht="15.75" customHeight="1" x14ac:dyDescent="0.25">
      <c r="A75" s="50">
        <v>1997</v>
      </c>
      <c r="B75" s="50">
        <v>12</v>
      </c>
      <c r="C75" s="51">
        <f t="shared" si="4"/>
        <v>67</v>
      </c>
      <c r="D75" s="51">
        <f t="shared" si="5"/>
        <v>804</v>
      </c>
      <c r="E75" s="49">
        <v>763.69</v>
      </c>
      <c r="F75" s="49">
        <f t="shared" si="6"/>
        <v>11.398358208955225</v>
      </c>
      <c r="G75" s="52">
        <f t="shared" si="7"/>
        <v>8.7731933114221727E-2</v>
      </c>
      <c r="I75" s="49">
        <v>69.5</v>
      </c>
      <c r="J75" s="49">
        <v>69.5</v>
      </c>
      <c r="K75" s="49">
        <v>69.5</v>
      </c>
      <c r="L75" s="49">
        <v>69.5</v>
      </c>
      <c r="M75" s="49">
        <v>69.5</v>
      </c>
      <c r="N75" s="49">
        <v>69.5</v>
      </c>
      <c r="O75" s="49">
        <v>69.5</v>
      </c>
      <c r="P75" s="49">
        <v>69.5</v>
      </c>
      <c r="Q75" s="49">
        <v>69.5</v>
      </c>
      <c r="R75" s="49">
        <v>69.5</v>
      </c>
      <c r="S75" s="49">
        <v>54.5</v>
      </c>
      <c r="T75" s="49">
        <v>54.5</v>
      </c>
    </row>
    <row r="76" spans="1:20" s="53" customFormat="1" ht="15.75" customHeight="1" x14ac:dyDescent="0.25">
      <c r="A76" s="50">
        <v>1998</v>
      </c>
      <c r="B76" s="50">
        <v>12</v>
      </c>
      <c r="C76" s="51">
        <f t="shared" si="4"/>
        <v>54.583333333333336</v>
      </c>
      <c r="D76" s="51">
        <f t="shared" si="5"/>
        <v>655</v>
      </c>
      <c r="E76" s="49">
        <v>763.69</v>
      </c>
      <c r="F76" s="49">
        <f t="shared" si="6"/>
        <v>13.991267175572519</v>
      </c>
      <c r="G76" s="52">
        <f t="shared" si="7"/>
        <v>7.147315446494433E-2</v>
      </c>
      <c r="I76" s="49">
        <v>54.5</v>
      </c>
      <c r="J76" s="49">
        <v>54.5</v>
      </c>
      <c r="K76" s="49">
        <v>54.5</v>
      </c>
      <c r="L76" s="49">
        <v>54.5</v>
      </c>
      <c r="M76" s="49">
        <v>54.5</v>
      </c>
      <c r="N76" s="49">
        <v>54.5</v>
      </c>
      <c r="O76" s="49">
        <v>54.5</v>
      </c>
      <c r="P76" s="49">
        <v>54.5</v>
      </c>
      <c r="Q76" s="49">
        <v>54.5</v>
      </c>
      <c r="R76" s="49">
        <v>54.5</v>
      </c>
      <c r="S76" s="49">
        <v>55</v>
      </c>
      <c r="T76" s="49">
        <v>55</v>
      </c>
    </row>
    <row r="77" spans="1:20" s="53" customFormat="1" ht="15.75" customHeight="1" x14ac:dyDescent="0.25">
      <c r="A77" s="50">
        <v>1999</v>
      </c>
      <c r="B77" s="50">
        <v>12</v>
      </c>
      <c r="C77" s="51">
        <f t="shared" si="4"/>
        <v>58.083333333333336</v>
      </c>
      <c r="D77" s="51">
        <f t="shared" si="5"/>
        <v>697</v>
      </c>
      <c r="E77" s="49">
        <v>763.69</v>
      </c>
      <c r="F77" s="49">
        <f t="shared" si="6"/>
        <v>13.148177905308465</v>
      </c>
      <c r="G77" s="52">
        <f t="shared" si="7"/>
        <v>7.6056165896284264E-2</v>
      </c>
      <c r="I77" s="49">
        <v>55</v>
      </c>
      <c r="J77" s="49">
        <v>55</v>
      </c>
      <c r="K77" s="49">
        <v>59.5</v>
      </c>
      <c r="L77" s="49">
        <v>59.5</v>
      </c>
      <c r="M77" s="49">
        <v>59.5</v>
      </c>
      <c r="N77" s="49">
        <v>59.5</v>
      </c>
      <c r="O77" s="49">
        <v>59.5</v>
      </c>
      <c r="P77" s="49">
        <v>59.5</v>
      </c>
      <c r="Q77" s="49">
        <v>55</v>
      </c>
      <c r="R77" s="49">
        <v>55</v>
      </c>
      <c r="S77" s="49">
        <v>60</v>
      </c>
      <c r="T77" s="49">
        <v>60</v>
      </c>
    </row>
    <row r="78" spans="1:20" s="53" customFormat="1" ht="15.75" customHeight="1" x14ac:dyDescent="0.25">
      <c r="A78" s="50">
        <v>2000</v>
      </c>
      <c r="B78" s="50">
        <v>12</v>
      </c>
      <c r="C78" s="51">
        <f t="shared" si="4"/>
        <v>62.25</v>
      </c>
      <c r="D78" s="51">
        <f t="shared" si="5"/>
        <v>747</v>
      </c>
      <c r="E78" s="49">
        <v>763.69</v>
      </c>
      <c r="F78" s="49">
        <f t="shared" si="6"/>
        <v>12.268112449799197</v>
      </c>
      <c r="G78" s="52">
        <f t="shared" si="7"/>
        <v>8.151213188597467E-2</v>
      </c>
      <c r="I78" s="49">
        <v>60</v>
      </c>
      <c r="J78" s="49">
        <v>60</v>
      </c>
      <c r="K78" s="49">
        <v>64.5</v>
      </c>
      <c r="L78" s="49">
        <v>64.5</v>
      </c>
      <c r="M78" s="49">
        <v>64.5</v>
      </c>
      <c r="N78" s="49">
        <v>64.5</v>
      </c>
      <c r="O78" s="49">
        <v>64.5</v>
      </c>
      <c r="P78" s="49">
        <v>64.5</v>
      </c>
      <c r="Q78" s="49">
        <v>60</v>
      </c>
      <c r="R78" s="49">
        <v>60</v>
      </c>
      <c r="S78" s="49">
        <v>60</v>
      </c>
      <c r="T78" s="49">
        <v>60</v>
      </c>
    </row>
    <row r="79" spans="1:20" s="53" customFormat="1" ht="15.75" customHeight="1" x14ac:dyDescent="0.25">
      <c r="A79" s="50">
        <v>2001</v>
      </c>
      <c r="B79" s="50">
        <v>12</v>
      </c>
      <c r="C79" s="51">
        <f t="shared" si="4"/>
        <v>62.25</v>
      </c>
      <c r="D79" s="51">
        <f t="shared" si="5"/>
        <v>747</v>
      </c>
      <c r="E79" s="49">
        <v>763.69</v>
      </c>
      <c r="F79" s="49">
        <f t="shared" si="6"/>
        <v>12.268112449799197</v>
      </c>
      <c r="G79" s="52">
        <f t="shared" si="7"/>
        <v>8.151213188597467E-2</v>
      </c>
      <c r="I79" s="49">
        <v>60</v>
      </c>
      <c r="J79" s="49">
        <v>60</v>
      </c>
      <c r="K79" s="49">
        <v>64.5</v>
      </c>
      <c r="L79" s="49">
        <v>64.5</v>
      </c>
      <c r="M79" s="49">
        <v>64.5</v>
      </c>
      <c r="N79" s="49">
        <v>64.5</v>
      </c>
      <c r="O79" s="49">
        <v>64.5</v>
      </c>
      <c r="P79" s="49">
        <v>64.5</v>
      </c>
      <c r="Q79" s="49">
        <v>60</v>
      </c>
      <c r="R79" s="49">
        <v>60</v>
      </c>
      <c r="S79" s="49">
        <v>60</v>
      </c>
      <c r="T79" s="49">
        <v>60</v>
      </c>
    </row>
    <row r="80" spans="1:20" s="53" customFormat="1" ht="15.75" customHeight="1" x14ac:dyDescent="0.25">
      <c r="A80" s="50">
        <v>2002</v>
      </c>
      <c r="B80" s="50">
        <v>12</v>
      </c>
      <c r="C80" s="51">
        <f t="shared" si="4"/>
        <v>62.25</v>
      </c>
      <c r="D80" s="51">
        <f t="shared" si="5"/>
        <v>747</v>
      </c>
      <c r="E80" s="49">
        <v>763.69</v>
      </c>
      <c r="F80" s="49">
        <f t="shared" si="6"/>
        <v>12.268112449799197</v>
      </c>
      <c r="G80" s="52">
        <f t="shared" si="7"/>
        <v>8.151213188597467E-2</v>
      </c>
      <c r="I80" s="49">
        <v>60</v>
      </c>
      <c r="J80" s="49">
        <v>60</v>
      </c>
      <c r="K80" s="49">
        <v>64.5</v>
      </c>
      <c r="L80" s="49">
        <v>64.5</v>
      </c>
      <c r="M80" s="49">
        <v>64.5</v>
      </c>
      <c r="N80" s="49">
        <v>64.5</v>
      </c>
      <c r="O80" s="49">
        <v>64.5</v>
      </c>
      <c r="P80" s="49">
        <v>64.5</v>
      </c>
      <c r="Q80" s="49">
        <v>60</v>
      </c>
      <c r="R80" s="49">
        <v>60</v>
      </c>
      <c r="S80" s="49">
        <v>60</v>
      </c>
      <c r="T80" s="49">
        <v>60</v>
      </c>
    </row>
    <row r="81" spans="1:20" s="53" customFormat="1" ht="15.75" customHeight="1" x14ac:dyDescent="0.25">
      <c r="A81" s="50">
        <v>2003</v>
      </c>
      <c r="B81" s="50">
        <v>12</v>
      </c>
      <c r="C81" s="51">
        <f t="shared" si="4"/>
        <v>62.25</v>
      </c>
      <c r="D81" s="51">
        <f t="shared" si="5"/>
        <v>747</v>
      </c>
      <c r="E81" s="49">
        <v>763.69</v>
      </c>
      <c r="F81" s="49">
        <f t="shared" si="6"/>
        <v>12.268112449799197</v>
      </c>
      <c r="G81" s="52">
        <f t="shared" si="7"/>
        <v>8.151213188597467E-2</v>
      </c>
      <c r="I81" s="49">
        <v>60</v>
      </c>
      <c r="J81" s="49">
        <v>60</v>
      </c>
      <c r="K81" s="49">
        <v>64.5</v>
      </c>
      <c r="L81" s="49">
        <v>64.5</v>
      </c>
      <c r="M81" s="49">
        <v>64.5</v>
      </c>
      <c r="N81" s="49">
        <v>64.5</v>
      </c>
      <c r="O81" s="49">
        <v>64.5</v>
      </c>
      <c r="P81" s="49">
        <v>64.5</v>
      </c>
      <c r="Q81" s="49">
        <v>60</v>
      </c>
      <c r="R81" s="49">
        <v>60</v>
      </c>
      <c r="S81" s="49">
        <v>60</v>
      </c>
      <c r="T81" s="49">
        <v>60</v>
      </c>
    </row>
    <row r="82" spans="1:20" s="53" customFormat="1" ht="15.75" customHeight="1" x14ac:dyDescent="0.25">
      <c r="A82" s="50">
        <v>2004</v>
      </c>
      <c r="B82" s="50">
        <v>12</v>
      </c>
      <c r="C82" s="51">
        <f t="shared" si="4"/>
        <v>62.25</v>
      </c>
      <c r="D82" s="51">
        <f t="shared" si="5"/>
        <v>747</v>
      </c>
      <c r="E82" s="49">
        <v>763.69</v>
      </c>
      <c r="F82" s="49">
        <f t="shared" si="6"/>
        <v>12.268112449799197</v>
      </c>
      <c r="G82" s="52">
        <f t="shared" si="7"/>
        <v>8.151213188597467E-2</v>
      </c>
      <c r="I82" s="49">
        <v>60</v>
      </c>
      <c r="J82" s="49">
        <v>60</v>
      </c>
      <c r="K82" s="49">
        <v>64.5</v>
      </c>
      <c r="L82" s="49">
        <v>64.5</v>
      </c>
      <c r="M82" s="49">
        <v>64.5</v>
      </c>
      <c r="N82" s="49">
        <v>64.5</v>
      </c>
      <c r="O82" s="49">
        <v>64.5</v>
      </c>
      <c r="P82" s="49">
        <v>64.5</v>
      </c>
      <c r="Q82" s="49">
        <v>60</v>
      </c>
      <c r="R82" s="49">
        <v>60</v>
      </c>
      <c r="S82" s="49">
        <v>60</v>
      </c>
      <c r="T82" s="49">
        <v>60</v>
      </c>
    </row>
    <row r="83" spans="1:20" s="53" customFormat="1" ht="15.75" customHeight="1" x14ac:dyDescent="0.25">
      <c r="A83" s="50">
        <v>2005</v>
      </c>
      <c r="B83" s="50">
        <v>12</v>
      </c>
      <c r="C83" s="51">
        <f t="shared" si="4"/>
        <v>58.916666666666664</v>
      </c>
      <c r="D83" s="51">
        <f t="shared" si="5"/>
        <v>707</v>
      </c>
      <c r="E83" s="49">
        <v>763.69</v>
      </c>
      <c r="F83" s="49">
        <f t="shared" si="6"/>
        <v>12.962206506364923</v>
      </c>
      <c r="G83" s="52">
        <f t="shared" si="7"/>
        <v>7.7147359094222337E-2</v>
      </c>
      <c r="I83" s="49">
        <v>60</v>
      </c>
      <c r="J83" s="49">
        <v>60</v>
      </c>
      <c r="K83" s="49">
        <v>64.5</v>
      </c>
      <c r="L83" s="49">
        <v>64.5</v>
      </c>
      <c r="M83" s="49">
        <v>64.5</v>
      </c>
      <c r="N83" s="49">
        <v>64.5</v>
      </c>
      <c r="O83" s="49">
        <v>64.5</v>
      </c>
      <c r="P83" s="49">
        <v>64.5</v>
      </c>
      <c r="Q83" s="49">
        <v>60</v>
      </c>
      <c r="R83" s="49">
        <v>60</v>
      </c>
      <c r="S83" s="49">
        <v>40</v>
      </c>
      <c r="T83" s="49">
        <v>40</v>
      </c>
    </row>
    <row r="84" spans="1:20" s="53" customFormat="1" ht="15.75" customHeight="1" x14ac:dyDescent="0.25">
      <c r="A84" s="50">
        <v>2006</v>
      </c>
      <c r="B84" s="50">
        <v>12</v>
      </c>
      <c r="C84" s="51">
        <f t="shared" si="4"/>
        <v>34.833333333333336</v>
      </c>
      <c r="D84" s="51">
        <f t="shared" si="5"/>
        <v>418</v>
      </c>
      <c r="E84" s="49">
        <v>763.69</v>
      </c>
      <c r="F84" s="49">
        <f t="shared" si="6"/>
        <v>21.924114832535885</v>
      </c>
      <c r="G84" s="52">
        <f t="shared" si="7"/>
        <v>4.5611875673811801E-2</v>
      </c>
      <c r="I84" s="49">
        <v>40</v>
      </c>
      <c r="J84" s="49">
        <v>40</v>
      </c>
      <c r="K84" s="49">
        <v>43</v>
      </c>
      <c r="L84" s="49">
        <v>43</v>
      </c>
      <c r="M84" s="49">
        <v>43</v>
      </c>
      <c r="N84" s="49">
        <v>43</v>
      </c>
      <c r="O84" s="49">
        <v>43</v>
      </c>
      <c r="P84" s="49">
        <v>43</v>
      </c>
      <c r="Q84" s="49">
        <v>40</v>
      </c>
      <c r="R84" s="49">
        <v>40</v>
      </c>
      <c r="S84" s="49">
        <v>0</v>
      </c>
      <c r="T84" s="49">
        <v>0</v>
      </c>
    </row>
    <row r="85" spans="1:20" s="53" customFormat="1" ht="15.75" customHeight="1" x14ac:dyDescent="0.25">
      <c r="A85" s="50">
        <v>2007</v>
      </c>
      <c r="B85" s="50">
        <v>12</v>
      </c>
      <c r="C85" s="51">
        <f t="shared" si="4"/>
        <v>18.733333333333334</v>
      </c>
      <c r="D85" s="51">
        <f t="shared" si="5"/>
        <v>224.8</v>
      </c>
      <c r="E85" s="49">
        <v>763.69</v>
      </c>
      <c r="F85" s="49">
        <f t="shared" si="6"/>
        <v>40.766370106761563</v>
      </c>
      <c r="G85" s="52">
        <f t="shared" si="7"/>
        <v>2.4530023089648068E-2</v>
      </c>
      <c r="I85" s="49">
        <v>0</v>
      </c>
      <c r="J85" s="49">
        <v>0</v>
      </c>
      <c r="K85" s="49">
        <v>0</v>
      </c>
      <c r="L85" s="49">
        <v>0</v>
      </c>
      <c r="M85" s="49">
        <v>130.1</v>
      </c>
      <c r="N85" s="49">
        <v>91.4</v>
      </c>
      <c r="O85" s="49">
        <v>0</v>
      </c>
      <c r="P85" s="49">
        <v>0.3</v>
      </c>
      <c r="Q85" s="49">
        <v>3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2008</v>
      </c>
      <c r="B86" s="50">
        <v>12</v>
      </c>
      <c r="C86" s="51">
        <f t="shared" si="4"/>
        <v>55.358333333333341</v>
      </c>
      <c r="D86" s="51">
        <f t="shared" si="5"/>
        <v>664.30000000000007</v>
      </c>
      <c r="E86" s="49">
        <v>763.69</v>
      </c>
      <c r="F86" s="49">
        <f t="shared" si="6"/>
        <v>13.79539364744844</v>
      </c>
      <c r="G86" s="52">
        <f t="shared" si="7"/>
        <v>7.248796413902675E-2</v>
      </c>
      <c r="I86" s="49">
        <v>0</v>
      </c>
      <c r="J86" s="49">
        <v>213.8</v>
      </c>
      <c r="K86" s="49">
        <v>0</v>
      </c>
      <c r="L86" s="49">
        <v>0</v>
      </c>
      <c r="M86" s="49">
        <v>0.1</v>
      </c>
      <c r="N86" s="49">
        <v>0</v>
      </c>
      <c r="O86" s="49">
        <v>0</v>
      </c>
      <c r="P86" s="49">
        <v>0</v>
      </c>
      <c r="Q86" s="49">
        <v>0</v>
      </c>
      <c r="R86" s="49">
        <v>31.9</v>
      </c>
      <c r="S86" s="49">
        <v>387.4</v>
      </c>
      <c r="T86" s="49">
        <v>31.1</v>
      </c>
    </row>
    <row r="87" spans="1:20" s="53" customFormat="1" ht="15.75" customHeight="1" x14ac:dyDescent="0.25">
      <c r="A87" s="50">
        <v>2009</v>
      </c>
      <c r="B87" s="50">
        <v>12</v>
      </c>
      <c r="C87" s="51">
        <f t="shared" si="4"/>
        <v>34.541666666666664</v>
      </c>
      <c r="D87" s="51">
        <f t="shared" si="5"/>
        <v>414.5</v>
      </c>
      <c r="E87" s="49">
        <v>763.69</v>
      </c>
      <c r="F87" s="49">
        <f t="shared" si="6"/>
        <v>22.109240048250907</v>
      </c>
      <c r="G87" s="52">
        <f t="shared" si="7"/>
        <v>4.5229958054533462E-2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362.5</v>
      </c>
      <c r="T87" s="49">
        <v>52</v>
      </c>
    </row>
    <row r="88" spans="1:20" s="53" customFormat="1" ht="15.75" customHeight="1" x14ac:dyDescent="0.25">
      <c r="A88" s="50">
        <v>2010</v>
      </c>
      <c r="B88" s="50">
        <v>12</v>
      </c>
      <c r="C88" s="51">
        <f t="shared" si="4"/>
        <v>0</v>
      </c>
      <c r="D88" s="51">
        <f t="shared" si="5"/>
        <v>0</v>
      </c>
      <c r="E88" s="49">
        <v>763.69</v>
      </c>
      <c r="F88" s="49" t="e">
        <f t="shared" si="6"/>
        <v>#DIV/0!</v>
      </c>
      <c r="G88" s="52">
        <f t="shared" si="7"/>
        <v>0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0" s="53" customFormat="1" ht="15.75" customHeight="1" x14ac:dyDescent="0.25">
      <c r="A89" s="50">
        <v>2011</v>
      </c>
      <c r="B89" s="50">
        <v>12</v>
      </c>
      <c r="C89" s="51">
        <f t="shared" ref="C89:C98" si="8">D89/B89</f>
        <v>37.291666666666664</v>
      </c>
      <c r="D89" s="51">
        <f t="shared" ref="D89:D98" si="9">SUM(I89:T89)</f>
        <v>447.5</v>
      </c>
      <c r="E89" s="49">
        <v>763.69</v>
      </c>
      <c r="F89" s="49">
        <f t="shared" ref="F89:F98" si="10">E89/C89</f>
        <v>20.478837988826818</v>
      </c>
      <c r="G89" s="52">
        <f t="shared" ref="G89:G98" si="11">C89/E89</f>
        <v>4.883089560772913E-2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28.1</v>
      </c>
      <c r="T89" s="49">
        <v>419.4</v>
      </c>
    </row>
    <row r="90" spans="1:20" s="53" customFormat="1" ht="15.75" customHeight="1" x14ac:dyDescent="0.25">
      <c r="A90" s="50">
        <v>2012</v>
      </c>
      <c r="B90" s="50">
        <v>12</v>
      </c>
      <c r="C90" s="51">
        <f t="shared" si="8"/>
        <v>2</v>
      </c>
      <c r="D90" s="51">
        <f t="shared" si="9"/>
        <v>24</v>
      </c>
      <c r="E90" s="49">
        <v>763.69</v>
      </c>
      <c r="F90" s="49">
        <f t="shared" si="10"/>
        <v>381.84500000000003</v>
      </c>
      <c r="G90" s="52">
        <f t="shared" si="11"/>
        <v>2.6188636750513949E-3</v>
      </c>
      <c r="I90" s="49">
        <v>24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2013</v>
      </c>
      <c r="B91" s="50">
        <v>12</v>
      </c>
      <c r="C91" s="51">
        <f t="shared" si="8"/>
        <v>44.375</v>
      </c>
      <c r="D91" s="51">
        <f t="shared" si="9"/>
        <v>532.5</v>
      </c>
      <c r="E91" s="49">
        <v>763.69</v>
      </c>
      <c r="F91" s="49">
        <f t="shared" si="10"/>
        <v>17.209915492957748</v>
      </c>
      <c r="G91" s="52">
        <f t="shared" si="11"/>
        <v>5.8106037790202826E-2</v>
      </c>
      <c r="I91" s="49">
        <v>208.3</v>
      </c>
      <c r="J91" s="49">
        <v>186.8</v>
      </c>
      <c r="K91" s="49">
        <v>2.7</v>
      </c>
      <c r="L91" s="49">
        <v>2</v>
      </c>
      <c r="M91" s="49">
        <v>0.6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132.1</v>
      </c>
    </row>
    <row r="92" spans="1:20" s="53" customFormat="1" ht="15.75" customHeight="1" x14ac:dyDescent="0.25">
      <c r="A92" s="50">
        <v>2014</v>
      </c>
      <c r="B92" s="50">
        <v>12</v>
      </c>
      <c r="C92" s="51">
        <f t="shared" si="8"/>
        <v>37.858333333333327</v>
      </c>
      <c r="D92" s="51">
        <f t="shared" si="9"/>
        <v>454.29999999999995</v>
      </c>
      <c r="E92" s="49">
        <v>763.69</v>
      </c>
      <c r="F92" s="49">
        <f t="shared" si="10"/>
        <v>20.172309046885324</v>
      </c>
      <c r="G92" s="52">
        <f t="shared" si="11"/>
        <v>4.9572906982327025E-2</v>
      </c>
      <c r="I92" s="49">
        <v>229.7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224.6</v>
      </c>
    </row>
    <row r="93" spans="1:20" s="53" customFormat="1" ht="15.75" customHeight="1" x14ac:dyDescent="0.25">
      <c r="A93" s="50">
        <v>2015</v>
      </c>
      <c r="B93" s="50">
        <v>12</v>
      </c>
      <c r="C93" s="51">
        <f t="shared" si="8"/>
        <v>4.1666666666666664E-2</v>
      </c>
      <c r="D93" s="51">
        <f t="shared" si="9"/>
        <v>0.5</v>
      </c>
      <c r="E93" s="49">
        <v>763.69</v>
      </c>
      <c r="F93" s="49">
        <f t="shared" si="10"/>
        <v>18328.560000000001</v>
      </c>
      <c r="G93" s="52">
        <f t="shared" si="11"/>
        <v>5.4559659896904058E-5</v>
      </c>
      <c r="I93" s="49">
        <v>0.5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2016</v>
      </c>
      <c r="B94" s="50">
        <v>12</v>
      </c>
      <c r="C94" s="51">
        <f t="shared" si="8"/>
        <v>15.976666666666667</v>
      </c>
      <c r="D94" s="51">
        <f t="shared" si="9"/>
        <v>191.72</v>
      </c>
      <c r="E94" s="49">
        <v>763.69</v>
      </c>
      <c r="F94" s="49">
        <f t="shared" si="10"/>
        <v>47.800333820154393</v>
      </c>
      <c r="G94" s="52">
        <f t="shared" si="11"/>
        <v>2.0920355990868892E-2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35.53</v>
      </c>
      <c r="R94" s="49">
        <v>156.19</v>
      </c>
      <c r="S94" s="49">
        <v>0</v>
      </c>
      <c r="T94" s="49">
        <v>0</v>
      </c>
    </row>
    <row r="95" spans="1:20" s="53" customFormat="1" ht="15.75" customHeight="1" x14ac:dyDescent="0.25">
      <c r="A95" s="50">
        <v>2017</v>
      </c>
      <c r="B95" s="50">
        <v>12</v>
      </c>
      <c r="C95" s="51">
        <f t="shared" si="8"/>
        <v>15.294166666666667</v>
      </c>
      <c r="D95" s="51">
        <f t="shared" si="9"/>
        <v>183.53</v>
      </c>
      <c r="E95" s="49">
        <v>763.69</v>
      </c>
      <c r="F95" s="49">
        <f t="shared" si="10"/>
        <v>49.933416880074105</v>
      </c>
      <c r="G95" s="52">
        <f t="shared" si="11"/>
        <v>2.0026668761757606E-2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183.53</v>
      </c>
      <c r="T95" s="49">
        <v>0</v>
      </c>
    </row>
    <row r="96" spans="1:20" s="53" customFormat="1" ht="15.75" customHeight="1" x14ac:dyDescent="0.25">
      <c r="A96" s="50">
        <v>2018</v>
      </c>
      <c r="B96" s="50">
        <v>12</v>
      </c>
      <c r="C96" s="51">
        <f t="shared" si="8"/>
        <v>32.783333333333339</v>
      </c>
      <c r="D96" s="51">
        <f t="shared" si="9"/>
        <v>393.40000000000003</v>
      </c>
      <c r="E96" s="49">
        <v>763.69</v>
      </c>
      <c r="F96" s="49">
        <f t="shared" si="10"/>
        <v>23.295068632435179</v>
      </c>
      <c r="G96" s="52">
        <f t="shared" si="11"/>
        <v>4.2927540406884124E-2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356.6</v>
      </c>
      <c r="T96" s="49">
        <v>36.799999999999997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23.25</v>
      </c>
      <c r="D97" s="51">
        <f t="shared" si="9"/>
        <v>279</v>
      </c>
      <c r="E97" s="49">
        <v>763.69</v>
      </c>
      <c r="F97" s="49">
        <f t="shared" si="10"/>
        <v>32.846881720430112</v>
      </c>
      <c r="G97" s="52">
        <f t="shared" si="11"/>
        <v>3.0444290222472466E-2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279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12.708333333333334</v>
      </c>
      <c r="D98" s="51">
        <f t="shared" si="9"/>
        <v>152.5</v>
      </c>
      <c r="E98" s="49">
        <v>763.69</v>
      </c>
      <c r="F98" s="49">
        <f t="shared" si="10"/>
        <v>60.0936393442623</v>
      </c>
      <c r="G98" s="52">
        <f t="shared" si="11"/>
        <v>1.664069626855574E-2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152.5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763.69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5.416666666666667</v>
      </c>
      <c r="D100" s="51">
        <f t="shared" ref="D100" si="17">SUM(I100:T100)</f>
        <v>65</v>
      </c>
      <c r="E100" s="49">
        <v>763.69</v>
      </c>
      <c r="F100" s="49">
        <f t="shared" ref="F100" si="18">E100/C100</f>
        <v>140.98892307692307</v>
      </c>
      <c r="G100" s="52">
        <f t="shared" ref="G100" si="19">C100/E100</f>
        <v>7.0927557865975285E-3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54">
        <v>65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0</v>
      </c>
      <c r="D101" s="51">
        <f t="shared" ref="D101" si="21">SUM(I101:T101)</f>
        <v>0</v>
      </c>
      <c r="E101" s="49">
        <v>763.69</v>
      </c>
      <c r="F101" s="49" t="e">
        <f t="shared" ref="F101" si="22">E101/C101</f>
        <v>#DIV/0!</v>
      </c>
      <c r="G101" s="52">
        <f t="shared" ref="G101" si="23">C101/E101</f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17.876344086021508</v>
      </c>
      <c r="D102" s="51">
        <f t="shared" ref="D102" si="25">SUM(I102:T102)</f>
        <v>214.51612903225808</v>
      </c>
      <c r="E102" s="49">
        <v>763.69</v>
      </c>
      <c r="F102" s="49">
        <f>E102/C102</f>
        <v>42.720703759398496</v>
      </c>
      <c r="G102" s="52">
        <f>C102/E102</f>
        <v>2.340785408480078E-2</v>
      </c>
      <c r="I102" s="49">
        <v>0</v>
      </c>
      <c r="J102" s="49">
        <v>0</v>
      </c>
      <c r="K102" s="49">
        <v>214.51612903225808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50">
        <v>2025</v>
      </c>
      <c r="B103" s="50">
        <v>12</v>
      </c>
      <c r="C103" s="51">
        <f t="shared" ref="C103" si="26">D103/B103</f>
        <v>31.716666666666669</v>
      </c>
      <c r="D103" s="51">
        <f t="shared" ref="D103" si="27">SUM(I103:T103)</f>
        <v>380.6</v>
      </c>
      <c r="E103" s="49">
        <v>763.69</v>
      </c>
      <c r="F103" s="49">
        <f>E103/C103</f>
        <v>24.07850761954808</v>
      </c>
      <c r="G103" s="52">
        <f>C103/E103</f>
        <v>4.1530813113523378E-2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267.5</v>
      </c>
      <c r="S103" s="49">
        <v>113.1</v>
      </c>
      <c r="T103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103"/>
  <sheetViews>
    <sheetView zoomScale="80" zoomScaleNormal="80" workbookViewId="0">
      <pane ySplit="1440" topLeftCell="A67" activePane="bottomLeft"/>
      <selection sqref="A1:XFD1048576"/>
      <selection pane="bottomLeft" activeCell="A103" sqref="A103:XFD103"/>
    </sheetView>
  </sheetViews>
  <sheetFormatPr defaultColWidth="9.109375" defaultRowHeight="15.75" customHeight="1" x14ac:dyDescent="0.25"/>
  <cols>
    <col min="1" max="2" width="8.88671875" style="40" customWidth="1"/>
    <col min="3" max="3" width="8.88671875" style="55" customWidth="1"/>
    <col min="4" max="4" width="9.5546875" style="55" bestFit="1" customWidth="1"/>
    <col min="5" max="5" width="10.8867187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6640625" style="56" customWidth="1"/>
    <col min="11" max="16" width="9.109375" style="56"/>
    <col min="17" max="17" width="12.5546875" style="56" customWidth="1"/>
    <col min="18" max="18" width="9.5546875" style="56" customWidth="1"/>
    <col min="19" max="19" width="11.5546875" style="56" customWidth="1"/>
    <col min="20" max="20" width="11.44140625" style="56" customWidth="1"/>
    <col min="21" max="16384" width="9.109375" style="40"/>
  </cols>
  <sheetData>
    <row r="1" spans="1:22" ht="15" x14ac:dyDescent="0.25">
      <c r="A1" s="120" t="s">
        <v>76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3" si="0">D4/B4</f>
        <v>77.25</v>
      </c>
      <c r="D4" s="51">
        <f t="shared" ref="D4:D63" si="1">SUM(I4:T4)</f>
        <v>927</v>
      </c>
      <c r="E4" s="49">
        <v>1969.66</v>
      </c>
      <c r="F4" s="49">
        <f t="shared" ref="F4:F63" si="2">E4/C4</f>
        <v>25.497216828478965</v>
      </c>
      <c r="G4" s="52">
        <f t="shared" ref="G4:G63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3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3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3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3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3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3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3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3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3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3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3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3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3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3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3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3" s="53" customFormat="1" ht="15.75" customHeight="1" x14ac:dyDescent="0.25">
      <c r="A64" s="50">
        <v>1986</v>
      </c>
      <c r="B64" s="50">
        <v>12</v>
      </c>
      <c r="C64" s="51">
        <f>D64/B64</f>
        <v>30.75</v>
      </c>
      <c r="D64" s="51">
        <f t="shared" ref="D64:D87" si="4">SUM(I64:T64)</f>
        <v>369</v>
      </c>
      <c r="E64" s="49">
        <v>2098.66</v>
      </c>
      <c r="F64" s="49">
        <f>E64/C64</f>
        <v>68.249105691056911</v>
      </c>
      <c r="G64" s="52">
        <f>C64/E64</f>
        <v>1.4652206646145636E-2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37.5</v>
      </c>
      <c r="T64" s="49">
        <v>37.5</v>
      </c>
      <c r="W64" s="48"/>
    </row>
    <row r="65" spans="1:23" s="53" customFormat="1" ht="15.75" customHeight="1" x14ac:dyDescent="0.25">
      <c r="A65" s="50">
        <v>1987</v>
      </c>
      <c r="B65" s="50">
        <v>12</v>
      </c>
      <c r="C65" s="51">
        <f t="shared" ref="C65:C87" si="5">D65/B65</f>
        <v>16.25</v>
      </c>
      <c r="D65" s="51">
        <f t="shared" si="4"/>
        <v>195</v>
      </c>
      <c r="E65" s="49">
        <v>433.85</v>
      </c>
      <c r="F65" s="49">
        <f t="shared" ref="F65:F88" si="6">E65/C65</f>
        <v>26.69846153846154</v>
      </c>
      <c r="G65" s="52">
        <f t="shared" ref="G65:G88" si="7">C65/E65</f>
        <v>3.745534170796358E-2</v>
      </c>
      <c r="I65" s="49">
        <v>37.5</v>
      </c>
      <c r="J65" s="49">
        <v>37.5</v>
      </c>
      <c r="K65" s="49">
        <v>15</v>
      </c>
      <c r="L65" s="49">
        <v>15</v>
      </c>
      <c r="M65" s="49">
        <v>15</v>
      </c>
      <c r="N65" s="49">
        <v>15</v>
      </c>
      <c r="O65" s="49">
        <v>15</v>
      </c>
      <c r="P65" s="49">
        <v>15</v>
      </c>
      <c r="Q65" s="49">
        <v>15</v>
      </c>
      <c r="R65" s="49">
        <v>15</v>
      </c>
      <c r="S65" s="49"/>
      <c r="T65" s="49"/>
      <c r="W65" s="48"/>
    </row>
    <row r="66" spans="1:23" s="53" customFormat="1" ht="15.75" customHeight="1" x14ac:dyDescent="0.25">
      <c r="A66" s="50">
        <v>1988</v>
      </c>
      <c r="B66" s="50">
        <v>12</v>
      </c>
      <c r="C66" s="51">
        <f t="shared" si="5"/>
        <v>5</v>
      </c>
      <c r="D66" s="51">
        <f t="shared" si="4"/>
        <v>60</v>
      </c>
      <c r="E66" s="49">
        <v>433.85</v>
      </c>
      <c r="F66" s="49">
        <f t="shared" si="6"/>
        <v>86.77000000000001</v>
      </c>
      <c r="G66" s="52">
        <f t="shared" si="7"/>
        <v>1.1524720525527256E-2</v>
      </c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>
        <v>30</v>
      </c>
      <c r="T66" s="49">
        <v>30</v>
      </c>
    </row>
    <row r="67" spans="1:23" s="53" customFormat="1" ht="15.75" customHeight="1" x14ac:dyDescent="0.25">
      <c r="A67" s="50">
        <v>1989</v>
      </c>
      <c r="B67" s="50">
        <v>12</v>
      </c>
      <c r="C67" s="51">
        <f t="shared" si="5"/>
        <v>8.5</v>
      </c>
      <c r="D67" s="51">
        <f t="shared" si="4"/>
        <v>102</v>
      </c>
      <c r="E67" s="49">
        <v>433.85</v>
      </c>
      <c r="F67" s="49">
        <f t="shared" si="6"/>
        <v>51.04117647058824</v>
      </c>
      <c r="G67" s="52">
        <f t="shared" si="7"/>
        <v>1.9592024893396336E-2</v>
      </c>
      <c r="I67" s="49">
        <v>30</v>
      </c>
      <c r="J67" s="49">
        <v>30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21</v>
      </c>
      <c r="T67" s="49">
        <v>21</v>
      </c>
    </row>
    <row r="68" spans="1:23" s="53" customFormat="1" ht="15.75" customHeight="1" x14ac:dyDescent="0.25">
      <c r="A68" s="50">
        <v>1990</v>
      </c>
      <c r="B68" s="50">
        <v>12</v>
      </c>
      <c r="C68" s="51">
        <f t="shared" si="5"/>
        <v>7</v>
      </c>
      <c r="D68" s="51">
        <f t="shared" si="4"/>
        <v>84</v>
      </c>
      <c r="E68" s="49">
        <v>433.85</v>
      </c>
      <c r="F68" s="49">
        <f t="shared" si="6"/>
        <v>61.978571428571435</v>
      </c>
      <c r="G68" s="52">
        <f t="shared" si="7"/>
        <v>1.6134608735738156E-2</v>
      </c>
      <c r="I68" s="49">
        <v>21</v>
      </c>
      <c r="J68" s="49">
        <v>21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21</v>
      </c>
      <c r="T68" s="49">
        <v>21</v>
      </c>
    </row>
    <row r="69" spans="1:23" s="53" customFormat="1" ht="15.75" customHeight="1" x14ac:dyDescent="0.25">
      <c r="A69" s="50">
        <v>1991</v>
      </c>
      <c r="B69" s="50">
        <v>12</v>
      </c>
      <c r="C69" s="51">
        <f t="shared" si="5"/>
        <v>6.25</v>
      </c>
      <c r="D69" s="51">
        <f t="shared" si="4"/>
        <v>75</v>
      </c>
      <c r="E69" s="49">
        <v>433.85</v>
      </c>
      <c r="F69" s="49">
        <f t="shared" si="6"/>
        <v>69.415999999999997</v>
      </c>
      <c r="G69" s="52">
        <f t="shared" si="7"/>
        <v>1.440590065690907E-2</v>
      </c>
      <c r="I69" s="49">
        <v>21</v>
      </c>
      <c r="J69" s="49">
        <v>21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16.5</v>
      </c>
      <c r="T69" s="49">
        <v>16.5</v>
      </c>
    </row>
    <row r="70" spans="1:23" s="53" customFormat="1" ht="15.75" customHeight="1" x14ac:dyDescent="0.25">
      <c r="A70" s="50">
        <v>1992</v>
      </c>
      <c r="B70" s="50">
        <v>12</v>
      </c>
      <c r="C70" s="51">
        <f t="shared" si="5"/>
        <v>19.25</v>
      </c>
      <c r="D70" s="51">
        <f t="shared" si="4"/>
        <v>231</v>
      </c>
      <c r="E70" s="49">
        <v>433.85</v>
      </c>
      <c r="F70" s="49">
        <f t="shared" si="6"/>
        <v>22.53766233766234</v>
      </c>
      <c r="G70" s="52">
        <f t="shared" si="7"/>
        <v>4.4370174023279932E-2</v>
      </c>
      <c r="I70" s="49">
        <v>16.5</v>
      </c>
      <c r="J70" s="49">
        <v>16.5</v>
      </c>
      <c r="K70" s="49">
        <v>16.5</v>
      </c>
      <c r="L70" s="49">
        <v>16.5</v>
      </c>
      <c r="M70" s="49">
        <v>16.5</v>
      </c>
      <c r="N70" s="49">
        <v>16.5</v>
      </c>
      <c r="O70" s="49">
        <v>16.5</v>
      </c>
      <c r="P70" s="49">
        <v>16.5</v>
      </c>
      <c r="Q70" s="49">
        <v>16.5</v>
      </c>
      <c r="R70" s="49">
        <v>16.5</v>
      </c>
      <c r="S70" s="49">
        <v>33</v>
      </c>
      <c r="T70" s="49">
        <v>33</v>
      </c>
    </row>
    <row r="71" spans="1:23" s="53" customFormat="1" ht="15.75" customHeight="1" x14ac:dyDescent="0.25">
      <c r="A71" s="50">
        <v>1993</v>
      </c>
      <c r="B71" s="50">
        <v>12</v>
      </c>
      <c r="C71" s="51">
        <f t="shared" si="5"/>
        <v>27.5</v>
      </c>
      <c r="D71" s="51">
        <f t="shared" si="4"/>
        <v>330</v>
      </c>
      <c r="E71" s="49">
        <v>433.85</v>
      </c>
      <c r="F71" s="49">
        <f t="shared" si="6"/>
        <v>15.776363636363637</v>
      </c>
      <c r="G71" s="52">
        <f t="shared" si="7"/>
        <v>6.3385962890399911E-2</v>
      </c>
      <c r="I71" s="49">
        <v>33</v>
      </c>
      <c r="J71" s="49">
        <v>33</v>
      </c>
      <c r="K71" s="49">
        <v>33</v>
      </c>
      <c r="L71" s="49">
        <v>33</v>
      </c>
      <c r="M71" s="49">
        <v>33</v>
      </c>
      <c r="N71" s="49">
        <v>33</v>
      </c>
      <c r="O71" s="49">
        <v>33</v>
      </c>
      <c r="P71" s="49">
        <v>33</v>
      </c>
      <c r="Q71" s="49">
        <v>33</v>
      </c>
      <c r="R71" s="49">
        <v>33</v>
      </c>
      <c r="S71" s="49">
        <v>0</v>
      </c>
      <c r="T71" s="49">
        <v>0</v>
      </c>
    </row>
    <row r="72" spans="1:23" s="53" customFormat="1" ht="15.75" customHeight="1" x14ac:dyDescent="0.25">
      <c r="A72" s="50">
        <v>1994</v>
      </c>
      <c r="B72" s="50">
        <v>12</v>
      </c>
      <c r="C72" s="51">
        <f t="shared" si="5"/>
        <v>0</v>
      </c>
      <c r="D72" s="51">
        <f t="shared" si="4"/>
        <v>0</v>
      </c>
      <c r="E72" s="49">
        <v>433.85</v>
      </c>
      <c r="F72" s="49" t="e">
        <f t="shared" si="6"/>
        <v>#DIV/0!</v>
      </c>
      <c r="G72" s="52">
        <f t="shared" si="7"/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3" s="53" customFormat="1" ht="15.75" customHeight="1" x14ac:dyDescent="0.25">
      <c r="A73" s="50">
        <v>1995</v>
      </c>
      <c r="B73" s="50">
        <v>12</v>
      </c>
      <c r="C73" s="51">
        <f t="shared" si="5"/>
        <v>0</v>
      </c>
      <c r="D73" s="51">
        <f t="shared" si="4"/>
        <v>0</v>
      </c>
      <c r="E73" s="49">
        <v>433.85</v>
      </c>
      <c r="F73" s="49" t="e">
        <f t="shared" si="6"/>
        <v>#DIV/0!</v>
      </c>
      <c r="G73" s="52">
        <f t="shared" si="7"/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3" s="53" customFormat="1" ht="15.75" customHeight="1" x14ac:dyDescent="0.25">
      <c r="A74" s="50">
        <v>1996</v>
      </c>
      <c r="B74" s="50">
        <v>12</v>
      </c>
      <c r="C74" s="51">
        <f t="shared" si="5"/>
        <v>4</v>
      </c>
      <c r="D74" s="51">
        <f t="shared" si="4"/>
        <v>48</v>
      </c>
      <c r="E74" s="49">
        <v>433.85</v>
      </c>
      <c r="F74" s="49">
        <f t="shared" si="6"/>
        <v>108.46250000000001</v>
      </c>
      <c r="G74" s="52">
        <f t="shared" si="7"/>
        <v>9.219776420421804E-3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24</v>
      </c>
      <c r="T74" s="49">
        <v>24</v>
      </c>
    </row>
    <row r="75" spans="1:23" s="53" customFormat="1" ht="15.75" customHeight="1" x14ac:dyDescent="0.25">
      <c r="A75" s="50">
        <v>1997</v>
      </c>
      <c r="B75" s="50">
        <v>12</v>
      </c>
      <c r="C75" s="51">
        <f t="shared" si="5"/>
        <v>24</v>
      </c>
      <c r="D75" s="51">
        <f t="shared" si="4"/>
        <v>288</v>
      </c>
      <c r="E75" s="49">
        <v>433.85</v>
      </c>
      <c r="F75" s="49">
        <f t="shared" si="6"/>
        <v>18.077083333333334</v>
      </c>
      <c r="G75" s="52">
        <f t="shared" si="7"/>
        <v>5.5318658522530824E-2</v>
      </c>
      <c r="I75" s="49">
        <v>24</v>
      </c>
      <c r="J75" s="49">
        <v>24</v>
      </c>
      <c r="K75" s="49">
        <v>24</v>
      </c>
      <c r="L75" s="49">
        <v>24</v>
      </c>
      <c r="M75" s="49">
        <v>24</v>
      </c>
      <c r="N75" s="49">
        <v>24</v>
      </c>
      <c r="O75" s="49">
        <v>24</v>
      </c>
      <c r="P75" s="49">
        <v>24</v>
      </c>
      <c r="Q75" s="49">
        <v>24</v>
      </c>
      <c r="R75" s="49">
        <v>24</v>
      </c>
      <c r="S75" s="49">
        <v>24</v>
      </c>
      <c r="T75" s="49">
        <v>24</v>
      </c>
    </row>
    <row r="76" spans="1:23" s="53" customFormat="1" ht="15.75" customHeight="1" x14ac:dyDescent="0.25">
      <c r="A76" s="50">
        <v>1998</v>
      </c>
      <c r="B76" s="50">
        <v>12</v>
      </c>
      <c r="C76" s="51">
        <f t="shared" si="5"/>
        <v>21.75</v>
      </c>
      <c r="D76" s="51">
        <f t="shared" si="4"/>
        <v>261</v>
      </c>
      <c r="E76" s="49">
        <v>433.85</v>
      </c>
      <c r="F76" s="49">
        <f t="shared" si="6"/>
        <v>19.947126436781609</v>
      </c>
      <c r="G76" s="52">
        <f t="shared" si="7"/>
        <v>5.0132534286043563E-2</v>
      </c>
      <c r="I76" s="49">
        <v>24</v>
      </c>
      <c r="J76" s="49">
        <v>24</v>
      </c>
      <c r="K76" s="49">
        <v>21</v>
      </c>
      <c r="L76" s="49">
        <v>21</v>
      </c>
      <c r="M76" s="49">
        <v>21</v>
      </c>
      <c r="N76" s="49">
        <v>21</v>
      </c>
      <c r="O76" s="49">
        <v>21</v>
      </c>
      <c r="P76" s="49">
        <v>21</v>
      </c>
      <c r="Q76" s="49">
        <v>21</v>
      </c>
      <c r="R76" s="49">
        <v>21</v>
      </c>
      <c r="S76" s="49">
        <v>22.5</v>
      </c>
      <c r="T76" s="49">
        <v>22.5</v>
      </c>
    </row>
    <row r="77" spans="1:23" s="53" customFormat="1" ht="15.75" customHeight="1" x14ac:dyDescent="0.25">
      <c r="A77" s="50">
        <v>1999</v>
      </c>
      <c r="B77" s="50">
        <v>12</v>
      </c>
      <c r="C77" s="51">
        <f t="shared" si="5"/>
        <v>18.75</v>
      </c>
      <c r="D77" s="51">
        <f t="shared" si="4"/>
        <v>225</v>
      </c>
      <c r="E77" s="49">
        <v>433.85</v>
      </c>
      <c r="F77" s="49">
        <f t="shared" si="6"/>
        <v>23.138666666666669</v>
      </c>
      <c r="G77" s="52">
        <f t="shared" si="7"/>
        <v>4.3217701970727204E-2</v>
      </c>
      <c r="I77" s="49">
        <v>22.5</v>
      </c>
      <c r="J77" s="49">
        <v>22.5</v>
      </c>
      <c r="K77" s="49">
        <v>22.5</v>
      </c>
      <c r="L77" s="49">
        <v>22.5</v>
      </c>
      <c r="M77" s="49">
        <v>22.5</v>
      </c>
      <c r="N77" s="49">
        <v>22.5</v>
      </c>
      <c r="O77" s="49">
        <v>22.5</v>
      </c>
      <c r="P77" s="49">
        <v>22.5</v>
      </c>
      <c r="Q77" s="49">
        <v>22.5</v>
      </c>
      <c r="R77" s="49">
        <v>22.5</v>
      </c>
      <c r="S77" s="49">
        <v>0</v>
      </c>
      <c r="T77" s="49">
        <v>0</v>
      </c>
    </row>
    <row r="78" spans="1:23" s="53" customFormat="1" ht="15.75" customHeight="1" x14ac:dyDescent="0.25">
      <c r="A78" s="50">
        <v>2000</v>
      </c>
      <c r="B78" s="50">
        <v>12</v>
      </c>
      <c r="C78" s="51">
        <f t="shared" si="5"/>
        <v>0</v>
      </c>
      <c r="D78" s="51">
        <f t="shared" si="4"/>
        <v>0</v>
      </c>
      <c r="E78" s="49">
        <v>433.85</v>
      </c>
      <c r="F78" s="49" t="e">
        <f t="shared" si="6"/>
        <v>#DIV/0!</v>
      </c>
      <c r="G78" s="52">
        <f t="shared" si="7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3" s="53" customFormat="1" ht="15.75" customHeight="1" x14ac:dyDescent="0.25">
      <c r="A79" s="50">
        <v>2001</v>
      </c>
      <c r="B79" s="50">
        <v>12</v>
      </c>
      <c r="C79" s="51">
        <f t="shared" si="5"/>
        <v>5.5</v>
      </c>
      <c r="D79" s="51">
        <f t="shared" si="4"/>
        <v>66</v>
      </c>
      <c r="E79" s="49">
        <v>433.85</v>
      </c>
      <c r="F79" s="49">
        <f t="shared" si="6"/>
        <v>78.88181818181819</v>
      </c>
      <c r="G79" s="52">
        <f t="shared" si="7"/>
        <v>1.267719257807998E-2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33</v>
      </c>
      <c r="T79" s="49">
        <v>33</v>
      </c>
    </row>
    <row r="80" spans="1:23" s="53" customFormat="1" ht="15.75" customHeight="1" x14ac:dyDescent="0.25">
      <c r="A80" s="50">
        <v>2002</v>
      </c>
      <c r="B80" s="50">
        <v>12</v>
      </c>
      <c r="C80" s="51">
        <f t="shared" si="5"/>
        <v>19.25</v>
      </c>
      <c r="D80" s="51">
        <f t="shared" si="4"/>
        <v>231</v>
      </c>
      <c r="E80" s="49">
        <v>433.85</v>
      </c>
      <c r="F80" s="49">
        <f t="shared" si="6"/>
        <v>22.53766233766234</v>
      </c>
      <c r="G80" s="52">
        <f t="shared" si="7"/>
        <v>4.4370174023279932E-2</v>
      </c>
      <c r="I80" s="49">
        <v>33</v>
      </c>
      <c r="J80" s="49">
        <v>33</v>
      </c>
      <c r="K80" s="49">
        <v>33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33</v>
      </c>
      <c r="R80" s="49">
        <v>33</v>
      </c>
      <c r="S80" s="49">
        <v>33</v>
      </c>
      <c r="T80" s="49">
        <v>33</v>
      </c>
    </row>
    <row r="81" spans="1:20" s="53" customFormat="1" ht="15.75" customHeight="1" x14ac:dyDescent="0.25">
      <c r="A81" s="50">
        <v>2003</v>
      </c>
      <c r="B81" s="50">
        <v>12</v>
      </c>
      <c r="C81" s="51">
        <f t="shared" si="5"/>
        <v>16.5</v>
      </c>
      <c r="D81" s="51">
        <f t="shared" si="4"/>
        <v>198</v>
      </c>
      <c r="E81" s="49">
        <v>433.85</v>
      </c>
      <c r="F81" s="49">
        <f t="shared" si="6"/>
        <v>26.293939393939397</v>
      </c>
      <c r="G81" s="52">
        <f t="shared" si="7"/>
        <v>3.8031577734239944E-2</v>
      </c>
      <c r="I81" s="49">
        <v>33</v>
      </c>
      <c r="J81" s="49">
        <v>33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33</v>
      </c>
      <c r="R81" s="49">
        <v>33</v>
      </c>
      <c r="S81" s="49">
        <v>33</v>
      </c>
      <c r="T81" s="49">
        <v>33</v>
      </c>
    </row>
    <row r="82" spans="1:20" s="53" customFormat="1" ht="15.75" customHeight="1" x14ac:dyDescent="0.25">
      <c r="A82" s="50">
        <v>2004</v>
      </c>
      <c r="B82" s="50">
        <v>12</v>
      </c>
      <c r="C82" s="51">
        <f t="shared" si="5"/>
        <v>16.5</v>
      </c>
      <c r="D82" s="51">
        <f t="shared" si="4"/>
        <v>198</v>
      </c>
      <c r="E82" s="49">
        <v>433.85</v>
      </c>
      <c r="F82" s="49">
        <f t="shared" si="6"/>
        <v>26.293939393939397</v>
      </c>
      <c r="G82" s="52">
        <f t="shared" si="7"/>
        <v>3.8031577734239944E-2</v>
      </c>
      <c r="I82" s="49">
        <v>33</v>
      </c>
      <c r="J82" s="49">
        <v>33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33</v>
      </c>
      <c r="R82" s="49">
        <v>33</v>
      </c>
      <c r="S82" s="49">
        <v>33</v>
      </c>
      <c r="T82" s="49">
        <v>33</v>
      </c>
    </row>
    <row r="83" spans="1:20" s="53" customFormat="1" ht="15.75" customHeight="1" x14ac:dyDescent="0.25">
      <c r="A83" s="50">
        <v>2005</v>
      </c>
      <c r="B83" s="50">
        <v>12</v>
      </c>
      <c r="C83" s="51">
        <f t="shared" si="5"/>
        <v>16.5</v>
      </c>
      <c r="D83" s="51">
        <f t="shared" si="4"/>
        <v>198</v>
      </c>
      <c r="E83" s="49">
        <v>433.85</v>
      </c>
      <c r="F83" s="49">
        <f t="shared" si="6"/>
        <v>26.293939393939397</v>
      </c>
      <c r="G83" s="52">
        <f t="shared" si="7"/>
        <v>3.8031577734239944E-2</v>
      </c>
      <c r="I83" s="49">
        <v>33</v>
      </c>
      <c r="J83" s="49">
        <v>33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33</v>
      </c>
      <c r="R83" s="49">
        <v>33</v>
      </c>
      <c r="S83" s="49">
        <v>33</v>
      </c>
      <c r="T83" s="49">
        <v>33</v>
      </c>
    </row>
    <row r="84" spans="1:20" s="53" customFormat="1" ht="15.75" customHeight="1" x14ac:dyDescent="0.25">
      <c r="A84" s="50">
        <v>2006</v>
      </c>
      <c r="B84" s="50">
        <v>12</v>
      </c>
      <c r="C84" s="51">
        <f t="shared" si="5"/>
        <v>14.041666666666666</v>
      </c>
      <c r="D84" s="51">
        <f t="shared" si="4"/>
        <v>168.5</v>
      </c>
      <c r="E84" s="49">
        <v>433.85</v>
      </c>
      <c r="F84" s="49">
        <f t="shared" si="6"/>
        <v>30.897329376854604</v>
      </c>
      <c r="G84" s="52">
        <f t="shared" si="7"/>
        <v>3.2365256809189044E-2</v>
      </c>
      <c r="I84" s="49">
        <v>33</v>
      </c>
      <c r="J84" s="49">
        <v>33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33</v>
      </c>
      <c r="Q84" s="49">
        <v>33</v>
      </c>
      <c r="R84" s="49">
        <v>33</v>
      </c>
      <c r="S84" s="49">
        <v>0</v>
      </c>
      <c r="T84" s="49">
        <v>3.5</v>
      </c>
    </row>
    <row r="85" spans="1:20" s="53" customFormat="1" ht="15.75" customHeight="1" x14ac:dyDescent="0.25">
      <c r="A85" s="50">
        <v>2007</v>
      </c>
      <c r="B85" s="50">
        <v>12</v>
      </c>
      <c r="C85" s="51">
        <f t="shared" si="5"/>
        <v>15.533333333333333</v>
      </c>
      <c r="D85" s="51">
        <f t="shared" si="4"/>
        <v>186.4</v>
      </c>
      <c r="E85" s="49">
        <v>433.85</v>
      </c>
      <c r="F85" s="49">
        <f t="shared" si="6"/>
        <v>27.930257510729614</v>
      </c>
      <c r="G85" s="52">
        <f t="shared" si="7"/>
        <v>3.5803465099304675E-2</v>
      </c>
      <c r="I85" s="49">
        <v>27</v>
      </c>
      <c r="J85" s="49">
        <v>27</v>
      </c>
      <c r="K85" s="49">
        <v>24.4</v>
      </c>
      <c r="L85" s="49">
        <v>27</v>
      </c>
      <c r="M85" s="49">
        <v>27</v>
      </c>
      <c r="N85" s="49">
        <v>27</v>
      </c>
      <c r="O85" s="49">
        <v>27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50">
        <v>2008</v>
      </c>
      <c r="B86" s="50">
        <v>12</v>
      </c>
      <c r="C86" s="51">
        <f t="shared" si="5"/>
        <v>3.75</v>
      </c>
      <c r="D86" s="51">
        <f t="shared" si="4"/>
        <v>45</v>
      </c>
      <c r="E86" s="49">
        <v>433.85</v>
      </c>
      <c r="F86" s="49">
        <f t="shared" si="6"/>
        <v>115.69333333333334</v>
      </c>
      <c r="G86" s="52">
        <f t="shared" si="7"/>
        <v>8.6435403941454419E-3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15</v>
      </c>
      <c r="S86" s="49">
        <v>15</v>
      </c>
      <c r="T86" s="49">
        <v>15</v>
      </c>
    </row>
    <row r="87" spans="1:20" s="53" customFormat="1" ht="15.75" customHeight="1" x14ac:dyDescent="0.25">
      <c r="A87" s="50">
        <v>2009</v>
      </c>
      <c r="B87" s="50">
        <v>12</v>
      </c>
      <c r="C87" s="51">
        <f t="shared" si="5"/>
        <v>6.1583333333333341</v>
      </c>
      <c r="D87" s="51">
        <f t="shared" si="4"/>
        <v>73.900000000000006</v>
      </c>
      <c r="E87" s="49">
        <v>433.85</v>
      </c>
      <c r="F87" s="49">
        <f t="shared" si="6"/>
        <v>70.449255751014874</v>
      </c>
      <c r="G87" s="52">
        <f t="shared" si="7"/>
        <v>1.4194614113941071E-2</v>
      </c>
      <c r="I87" s="49">
        <v>8.1999999999999993</v>
      </c>
      <c r="J87" s="49">
        <v>0</v>
      </c>
      <c r="K87" s="49">
        <v>0</v>
      </c>
      <c r="L87" s="49">
        <v>0</v>
      </c>
      <c r="M87" s="49">
        <v>8.6999999999999993</v>
      </c>
      <c r="N87" s="49">
        <v>19</v>
      </c>
      <c r="O87" s="49">
        <v>19</v>
      </c>
      <c r="P87" s="49">
        <v>19</v>
      </c>
      <c r="Q87" s="49">
        <v>0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50">
        <v>2010</v>
      </c>
      <c r="B88" s="50">
        <v>12</v>
      </c>
      <c r="C88" s="51">
        <f t="shared" ref="C88:C98" si="8">D88/B88</f>
        <v>6.375</v>
      </c>
      <c r="D88" s="51">
        <f t="shared" ref="D88:D98" si="9">SUM(I88:T88)</f>
        <v>76.5</v>
      </c>
      <c r="E88" s="49">
        <v>433.85</v>
      </c>
      <c r="F88" s="49">
        <f t="shared" si="6"/>
        <v>68.054901960784321</v>
      </c>
      <c r="G88" s="52">
        <f t="shared" si="7"/>
        <v>1.469401867004725E-2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24</v>
      </c>
      <c r="O88" s="49">
        <v>16.5</v>
      </c>
      <c r="P88" s="49">
        <v>12</v>
      </c>
      <c r="Q88" s="49">
        <v>12</v>
      </c>
      <c r="R88" s="49">
        <v>12</v>
      </c>
      <c r="S88" s="49">
        <v>0</v>
      </c>
      <c r="T88" s="49">
        <v>0</v>
      </c>
    </row>
    <row r="89" spans="1:20" s="53" customFormat="1" ht="15.75" customHeight="1" x14ac:dyDescent="0.25">
      <c r="A89" s="50">
        <v>2011</v>
      </c>
      <c r="B89" s="50">
        <v>12</v>
      </c>
      <c r="C89" s="51">
        <f t="shared" si="8"/>
        <v>3.75</v>
      </c>
      <c r="D89" s="51">
        <f t="shared" si="9"/>
        <v>45</v>
      </c>
      <c r="E89" s="49">
        <v>433.85</v>
      </c>
      <c r="F89" s="49">
        <f t="shared" ref="F89:F98" si="10">E89/C89</f>
        <v>115.69333333333334</v>
      </c>
      <c r="G89" s="52">
        <f t="shared" ref="G89:G98" si="11">C89/E89</f>
        <v>8.6435403941454419E-3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22.5</v>
      </c>
      <c r="O89" s="49">
        <v>22.5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50">
        <v>2012</v>
      </c>
      <c r="B90" s="50">
        <v>12</v>
      </c>
      <c r="C90" s="51">
        <f t="shared" si="8"/>
        <v>0</v>
      </c>
      <c r="D90" s="51">
        <f t="shared" si="9"/>
        <v>0</v>
      </c>
      <c r="E90" s="49">
        <v>433.85</v>
      </c>
      <c r="F90" s="49" t="e">
        <f t="shared" si="10"/>
        <v>#DIV/0!</v>
      </c>
      <c r="G90" s="52">
        <f t="shared" si="11"/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50">
        <v>2013</v>
      </c>
      <c r="B91" s="50">
        <v>12</v>
      </c>
      <c r="C91" s="51">
        <f t="shared" si="8"/>
        <v>0.10833333333333334</v>
      </c>
      <c r="D91" s="51">
        <f t="shared" si="9"/>
        <v>1.3</v>
      </c>
      <c r="E91" s="49">
        <v>433.85</v>
      </c>
      <c r="F91" s="49">
        <f t="shared" si="10"/>
        <v>4004.7692307692309</v>
      </c>
      <c r="G91" s="52">
        <f t="shared" si="11"/>
        <v>2.4970227805309056E-4</v>
      </c>
      <c r="I91" s="49">
        <v>0</v>
      </c>
      <c r="J91" s="49">
        <v>1.3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50">
        <v>2014</v>
      </c>
      <c r="B92" s="50">
        <v>12</v>
      </c>
      <c r="C92" s="51">
        <f t="shared" si="8"/>
        <v>1.4458333333333335</v>
      </c>
      <c r="D92" s="51">
        <f t="shared" si="9"/>
        <v>17.350000000000001</v>
      </c>
      <c r="E92" s="49">
        <v>433.85</v>
      </c>
      <c r="F92" s="49">
        <f t="shared" si="10"/>
        <v>300.06916426512964</v>
      </c>
      <c r="G92" s="52">
        <f t="shared" si="11"/>
        <v>3.3325650186316318E-3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6.1</v>
      </c>
      <c r="P92" s="49">
        <v>0</v>
      </c>
      <c r="Q92" s="49">
        <v>0</v>
      </c>
      <c r="R92" s="49">
        <v>0</v>
      </c>
      <c r="S92" s="49">
        <v>3.75</v>
      </c>
      <c r="T92" s="49">
        <v>7.5</v>
      </c>
    </row>
    <row r="93" spans="1:20" s="53" customFormat="1" ht="15.75" customHeight="1" x14ac:dyDescent="0.25">
      <c r="A93" s="50">
        <v>2015</v>
      </c>
      <c r="B93" s="50">
        <v>12</v>
      </c>
      <c r="C93" s="51">
        <f t="shared" si="8"/>
        <v>0.38083333333333336</v>
      </c>
      <c r="D93" s="51">
        <f t="shared" si="9"/>
        <v>4.57</v>
      </c>
      <c r="E93" s="49">
        <v>433.85</v>
      </c>
      <c r="F93" s="49">
        <f t="shared" si="10"/>
        <v>1139.2122538293218</v>
      </c>
      <c r="G93" s="52">
        <f t="shared" si="11"/>
        <v>8.7779954669432606E-4</v>
      </c>
      <c r="I93" s="49">
        <v>3.6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0.97</v>
      </c>
      <c r="S93" s="49">
        <v>0</v>
      </c>
      <c r="T93" s="49">
        <v>0</v>
      </c>
    </row>
    <row r="94" spans="1:20" s="53" customFormat="1" ht="15.75" customHeight="1" x14ac:dyDescent="0.25">
      <c r="A94" s="50">
        <v>2016</v>
      </c>
      <c r="B94" s="50">
        <v>12</v>
      </c>
      <c r="C94" s="51">
        <f t="shared" si="8"/>
        <v>0.3</v>
      </c>
      <c r="D94" s="51">
        <f t="shared" si="9"/>
        <v>3.6</v>
      </c>
      <c r="E94" s="49">
        <v>433.85</v>
      </c>
      <c r="F94" s="49">
        <f t="shared" si="10"/>
        <v>1446.1666666666667</v>
      </c>
      <c r="G94" s="52">
        <f t="shared" si="11"/>
        <v>6.9148323153163534E-4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3.6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2017</v>
      </c>
      <c r="B95" s="50">
        <v>12</v>
      </c>
      <c r="C95" s="51">
        <f t="shared" si="8"/>
        <v>0</v>
      </c>
      <c r="D95" s="51">
        <f t="shared" si="9"/>
        <v>0</v>
      </c>
      <c r="E95" s="49">
        <v>433.85</v>
      </c>
      <c r="F95" s="49" t="e">
        <f t="shared" si="10"/>
        <v>#DIV/0!</v>
      </c>
      <c r="G95" s="52">
        <f t="shared" si="11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2018</v>
      </c>
      <c r="B96" s="50">
        <v>12</v>
      </c>
      <c r="C96" s="51">
        <f t="shared" si="8"/>
        <v>0</v>
      </c>
      <c r="D96" s="51">
        <f t="shared" si="9"/>
        <v>0</v>
      </c>
      <c r="E96" s="49">
        <v>433.85</v>
      </c>
      <c r="F96" s="49" t="e">
        <f t="shared" si="10"/>
        <v>#DIV/0!</v>
      </c>
      <c r="G96" s="52">
        <f t="shared" si="11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0</v>
      </c>
      <c r="D97" s="51">
        <f t="shared" si="9"/>
        <v>0</v>
      </c>
      <c r="E97" s="49">
        <v>433.85</v>
      </c>
      <c r="F97" s="49" t="e">
        <f t="shared" si="10"/>
        <v>#DIV/0!</v>
      </c>
      <c r="G97" s="52">
        <f t="shared" si="11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0</v>
      </c>
      <c r="D98" s="51">
        <f t="shared" si="9"/>
        <v>0</v>
      </c>
      <c r="E98" s="49">
        <v>433.85</v>
      </c>
      <c r="F98" s="49" t="e">
        <f t="shared" si="10"/>
        <v>#DIV/0!</v>
      </c>
      <c r="G98" s="52">
        <f t="shared" si="11"/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433.85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0</v>
      </c>
      <c r="D100" s="51">
        <f t="shared" ref="D100" si="17">SUM(I100:T100)</f>
        <v>0</v>
      </c>
      <c r="E100" s="49">
        <v>433.85</v>
      </c>
      <c r="F100" s="49" t="e">
        <f t="shared" ref="F100" si="18">E100/C100</f>
        <v>#DIV/0!</v>
      </c>
      <c r="G100" s="52">
        <f t="shared" ref="G100" si="19">C100/E100</f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6.4333333333333336</v>
      </c>
      <c r="D101" s="51">
        <f t="shared" ref="D101" si="21">SUM(I101:T101)</f>
        <v>77.2</v>
      </c>
      <c r="E101" s="49">
        <v>433.85</v>
      </c>
      <c r="F101" s="49">
        <f t="shared" ref="F101" si="22">E101/C101</f>
        <v>67.437823834196891</v>
      </c>
      <c r="G101" s="52">
        <f t="shared" ref="G101" si="23">C101/E101</f>
        <v>1.4828473742845068E-2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10.199999999999999</v>
      </c>
      <c r="P101" s="49">
        <v>31.5</v>
      </c>
      <c r="Q101" s="49">
        <v>31.5</v>
      </c>
      <c r="R101" s="49">
        <v>0</v>
      </c>
      <c r="S101" s="49">
        <v>4</v>
      </c>
      <c r="T101" s="49">
        <v>0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433.85</v>
      </c>
      <c r="F102" s="49" t="e">
        <f t="shared" ref="F102" si="26">E102/C102</f>
        <v>#DIV/0!</v>
      </c>
      <c r="G102" s="52">
        <f t="shared" ref="G102" si="27">C102/E102</f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16">
        <v>2025</v>
      </c>
      <c r="B103" s="9">
        <v>12</v>
      </c>
      <c r="C103" s="51">
        <f t="shared" ref="C103" si="28">D103/B103</f>
        <v>0</v>
      </c>
      <c r="D103" s="51">
        <f t="shared" ref="D103" si="29">SUM(I103:T103)</f>
        <v>0</v>
      </c>
      <c r="E103" s="49">
        <v>433.85</v>
      </c>
      <c r="F103" s="49" t="e">
        <f t="shared" ref="F103" si="30">E103/C103</f>
        <v>#DIV/0!</v>
      </c>
      <c r="G103" s="52">
        <f t="shared" ref="G103" si="31">C103/E103</f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103"/>
  <sheetViews>
    <sheetView zoomScale="80" zoomScaleNormal="80" workbookViewId="0">
      <pane ySplit="1515" topLeftCell="A67" activePane="bottomLeft"/>
      <selection sqref="A1:XFD1048576"/>
      <selection pane="bottomLeft" activeCell="A103" sqref="A103:XFD103"/>
    </sheetView>
  </sheetViews>
  <sheetFormatPr defaultColWidth="9.109375" defaultRowHeight="15.75" customHeight="1" x14ac:dyDescent="0.25"/>
  <cols>
    <col min="1" max="2" width="9.109375" style="40"/>
    <col min="3" max="3" width="9.109375" style="55"/>
    <col min="4" max="4" width="9.5546875" style="55" bestFit="1" customWidth="1"/>
    <col min="5" max="5" width="10.33203125" style="56" customWidth="1"/>
    <col min="6" max="6" width="9.109375" style="56"/>
    <col min="7" max="7" width="9.5546875" style="57" bestFit="1" customWidth="1"/>
    <col min="8" max="8" width="9.109375" style="40"/>
    <col min="9" max="9" width="9.109375" style="56"/>
    <col min="10" max="10" width="10.33203125" style="56" customWidth="1"/>
    <col min="11" max="16" width="9.109375" style="56"/>
    <col min="17" max="17" width="12" style="56" customWidth="1"/>
    <col min="18" max="18" width="10" style="56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2" ht="15" x14ac:dyDescent="0.25">
      <c r="A1" s="120" t="s">
        <v>100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2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2" s="53" customFormat="1" ht="15.75" customHeight="1" x14ac:dyDescent="0.25">
      <c r="A3" s="50">
        <v>1925</v>
      </c>
      <c r="B3" s="50">
        <v>12</v>
      </c>
      <c r="C3" s="51">
        <f>D3/B3</f>
        <v>6</v>
      </c>
      <c r="D3" s="51">
        <f>SUM(I3:T3)</f>
        <v>72</v>
      </c>
      <c r="E3" s="49">
        <v>415</v>
      </c>
      <c r="F3" s="49">
        <f>E3/C3</f>
        <v>69.166666666666671</v>
      </c>
      <c r="G3" s="52">
        <f>C3/E3</f>
        <v>1.4457831325301205E-2</v>
      </c>
      <c r="H3" s="91"/>
      <c r="I3" s="49"/>
      <c r="J3" s="49"/>
      <c r="K3" s="49"/>
      <c r="L3" s="49"/>
      <c r="M3" s="49"/>
      <c r="N3" s="49"/>
      <c r="O3" s="49"/>
      <c r="P3" s="49"/>
      <c r="Q3" s="49"/>
      <c r="R3" s="49"/>
      <c r="S3" s="49">
        <v>36</v>
      </c>
      <c r="T3" s="49">
        <v>36</v>
      </c>
      <c r="V3" s="48"/>
    </row>
    <row r="4" spans="1:22" s="53" customFormat="1" ht="15.75" customHeight="1" x14ac:dyDescent="0.25">
      <c r="A4" s="50">
        <v>1926</v>
      </c>
      <c r="B4" s="50">
        <v>12</v>
      </c>
      <c r="C4" s="51">
        <f t="shared" ref="C4:C67" si="0">D4/B4</f>
        <v>77.25</v>
      </c>
      <c r="D4" s="51">
        <f t="shared" ref="D4:D67" si="1">SUM(I4:T4)</f>
        <v>927</v>
      </c>
      <c r="E4" s="49">
        <v>1969.66</v>
      </c>
      <c r="F4" s="49">
        <f t="shared" ref="F4:F67" si="2">E4/C4</f>
        <v>25.497216828478965</v>
      </c>
      <c r="G4" s="52">
        <f t="shared" ref="G4:G67" si="3">C4/E4</f>
        <v>3.9219966897840235E-2</v>
      </c>
      <c r="I4" s="49">
        <v>36</v>
      </c>
      <c r="J4" s="49">
        <v>43</v>
      </c>
      <c r="K4" s="49">
        <v>43</v>
      </c>
      <c r="L4" s="49">
        <v>43</v>
      </c>
      <c r="M4" s="49">
        <v>36.200000000000003</v>
      </c>
      <c r="N4" s="49">
        <v>27.9</v>
      </c>
      <c r="O4" s="49">
        <v>27</v>
      </c>
      <c r="P4" s="49">
        <v>136.6</v>
      </c>
      <c r="Q4" s="49">
        <v>143</v>
      </c>
      <c r="R4" s="49">
        <v>140.30000000000001</v>
      </c>
      <c r="S4" s="49">
        <v>133</v>
      </c>
      <c r="T4" s="49">
        <v>118</v>
      </c>
    </row>
    <row r="5" spans="1:22" s="53" customFormat="1" ht="15.75" customHeight="1" x14ac:dyDescent="0.25">
      <c r="A5" s="50">
        <v>1927</v>
      </c>
      <c r="B5" s="50">
        <v>12</v>
      </c>
      <c r="C5" s="51">
        <f t="shared" si="0"/>
        <v>129.28333333333333</v>
      </c>
      <c r="D5" s="51">
        <f t="shared" si="1"/>
        <v>1551.3999999999999</v>
      </c>
      <c r="E5" s="49">
        <v>3265.21</v>
      </c>
      <c r="F5" s="49">
        <f t="shared" si="2"/>
        <v>25.256233079798893</v>
      </c>
      <c r="G5" s="52">
        <f t="shared" si="3"/>
        <v>3.9594186387195106E-2</v>
      </c>
      <c r="I5" s="49">
        <v>123</v>
      </c>
      <c r="J5" s="49">
        <v>122.9</v>
      </c>
      <c r="K5" s="49">
        <v>122.2</v>
      </c>
      <c r="L5" s="49">
        <v>127.4</v>
      </c>
      <c r="M5" s="49">
        <v>99.5</v>
      </c>
      <c r="N5" s="49">
        <v>105</v>
      </c>
      <c r="O5" s="49">
        <v>105</v>
      </c>
      <c r="P5" s="49">
        <v>129.80000000000001</v>
      </c>
      <c r="Q5" s="49">
        <v>162</v>
      </c>
      <c r="R5" s="49">
        <v>156.5</v>
      </c>
      <c r="S5" s="49">
        <v>154</v>
      </c>
      <c r="T5" s="49">
        <v>144.1</v>
      </c>
    </row>
    <row r="6" spans="1:22" s="53" customFormat="1" ht="15.75" customHeight="1" x14ac:dyDescent="0.25">
      <c r="A6" s="50">
        <v>1928</v>
      </c>
      <c r="B6" s="50">
        <v>12</v>
      </c>
      <c r="C6" s="51">
        <f t="shared" si="0"/>
        <v>146.43333333333334</v>
      </c>
      <c r="D6" s="51">
        <f t="shared" si="1"/>
        <v>1757.2</v>
      </c>
      <c r="E6" s="49">
        <v>3265.21</v>
      </c>
      <c r="F6" s="49">
        <f t="shared" si="2"/>
        <v>22.298269974960164</v>
      </c>
      <c r="G6" s="52">
        <f t="shared" si="3"/>
        <v>4.4846528503016139E-2</v>
      </c>
      <c r="I6" s="49">
        <v>156</v>
      </c>
      <c r="J6" s="49">
        <v>156</v>
      </c>
      <c r="K6" s="49">
        <v>156</v>
      </c>
      <c r="L6" s="49">
        <v>156</v>
      </c>
      <c r="M6" s="49">
        <v>156</v>
      </c>
      <c r="N6" s="49">
        <v>134.30000000000001</v>
      </c>
      <c r="O6" s="49">
        <v>132</v>
      </c>
      <c r="P6" s="49">
        <v>182.2</v>
      </c>
      <c r="Q6" s="49">
        <v>128.19999999999999</v>
      </c>
      <c r="R6" s="49">
        <v>117</v>
      </c>
      <c r="S6" s="49">
        <v>126.9</v>
      </c>
      <c r="T6" s="49">
        <v>156.6</v>
      </c>
    </row>
    <row r="7" spans="1:22" s="53" customFormat="1" ht="15.75" customHeight="1" x14ac:dyDescent="0.25">
      <c r="A7" s="50">
        <v>1929</v>
      </c>
      <c r="B7" s="50">
        <v>12</v>
      </c>
      <c r="C7" s="51">
        <f t="shared" si="0"/>
        <v>163.86666666666667</v>
      </c>
      <c r="D7" s="51">
        <f t="shared" si="1"/>
        <v>1966.4</v>
      </c>
      <c r="E7" s="49">
        <v>3265.21</v>
      </c>
      <c r="F7" s="49">
        <f t="shared" si="2"/>
        <v>19.92601708706265</v>
      </c>
      <c r="G7" s="52">
        <f t="shared" si="3"/>
        <v>5.0185644006562113E-2</v>
      </c>
      <c r="I7" s="49">
        <v>181</v>
      </c>
      <c r="J7" s="49">
        <v>169.4</v>
      </c>
      <c r="K7" s="49">
        <v>173</v>
      </c>
      <c r="L7" s="49">
        <v>178.1</v>
      </c>
      <c r="M7" s="49">
        <v>179.9</v>
      </c>
      <c r="N7" s="49">
        <v>182</v>
      </c>
      <c r="O7" s="49">
        <v>168.5</v>
      </c>
      <c r="P7" s="49">
        <v>163</v>
      </c>
      <c r="Q7" s="49">
        <v>163</v>
      </c>
      <c r="R7" s="49">
        <v>155.5</v>
      </c>
      <c r="S7" s="49">
        <v>117</v>
      </c>
      <c r="T7" s="49">
        <v>136</v>
      </c>
    </row>
    <row r="8" spans="1:22" s="53" customFormat="1" ht="15.75" customHeight="1" x14ac:dyDescent="0.25">
      <c r="A8" s="50">
        <v>1930</v>
      </c>
      <c r="B8" s="50">
        <v>12</v>
      </c>
      <c r="C8" s="51">
        <f t="shared" si="0"/>
        <v>149.24166666666665</v>
      </c>
      <c r="D8" s="51">
        <f t="shared" si="1"/>
        <v>1790.8999999999999</v>
      </c>
      <c r="E8" s="49">
        <v>3265.21</v>
      </c>
      <c r="F8" s="49">
        <f t="shared" si="2"/>
        <v>21.87867552627171</v>
      </c>
      <c r="G8" s="52">
        <f t="shared" si="3"/>
        <v>4.5706605904877982E-2</v>
      </c>
      <c r="I8" s="49">
        <v>144.4</v>
      </c>
      <c r="J8" s="49">
        <v>169</v>
      </c>
      <c r="K8" s="49">
        <v>176</v>
      </c>
      <c r="L8" s="49">
        <v>176</v>
      </c>
      <c r="M8" s="49">
        <v>167.8</v>
      </c>
      <c r="N8" s="49">
        <v>141.4</v>
      </c>
      <c r="O8" s="49">
        <v>145</v>
      </c>
      <c r="P8" s="49">
        <v>145</v>
      </c>
      <c r="Q8" s="49">
        <v>145</v>
      </c>
      <c r="R8" s="49">
        <v>122.1</v>
      </c>
      <c r="S8" s="49">
        <v>128.19999999999999</v>
      </c>
      <c r="T8" s="49">
        <v>131</v>
      </c>
    </row>
    <row r="9" spans="1:22" s="53" customFormat="1" ht="15.75" customHeight="1" x14ac:dyDescent="0.25">
      <c r="A9" s="50">
        <v>1931</v>
      </c>
      <c r="B9" s="50">
        <v>12</v>
      </c>
      <c r="C9" s="51">
        <f t="shared" si="0"/>
        <v>125.01666666666667</v>
      </c>
      <c r="D9" s="51">
        <f t="shared" si="1"/>
        <v>1500.2</v>
      </c>
      <c r="E9" s="49">
        <v>3265.21</v>
      </c>
      <c r="F9" s="49">
        <f t="shared" si="2"/>
        <v>26.118197573656847</v>
      </c>
      <c r="G9" s="52">
        <f t="shared" si="3"/>
        <v>3.8287481254396093E-2</v>
      </c>
      <c r="I9" s="49">
        <v>131</v>
      </c>
      <c r="J9" s="49">
        <v>131</v>
      </c>
      <c r="K9" s="49">
        <v>128.6</v>
      </c>
      <c r="L9" s="49">
        <v>122.9</v>
      </c>
      <c r="M9" s="49">
        <v>122</v>
      </c>
      <c r="N9" s="49">
        <v>123</v>
      </c>
      <c r="O9" s="49">
        <v>122</v>
      </c>
      <c r="P9" s="49">
        <v>122</v>
      </c>
      <c r="Q9" s="49">
        <v>122</v>
      </c>
      <c r="R9" s="49">
        <v>122</v>
      </c>
      <c r="S9" s="49">
        <v>122.7</v>
      </c>
      <c r="T9" s="49">
        <v>131</v>
      </c>
    </row>
    <row r="10" spans="1:22" s="53" customFormat="1" ht="15.75" customHeight="1" x14ac:dyDescent="0.25">
      <c r="A10" s="50">
        <v>1932</v>
      </c>
      <c r="B10" s="50">
        <v>12</v>
      </c>
      <c r="C10" s="51">
        <f t="shared" si="0"/>
        <v>131.94999999999999</v>
      </c>
      <c r="D10" s="51">
        <f t="shared" si="1"/>
        <v>1583.3999999999999</v>
      </c>
      <c r="E10" s="49">
        <v>3265.21</v>
      </c>
      <c r="F10" s="49">
        <f t="shared" si="2"/>
        <v>24.745812807881777</v>
      </c>
      <c r="G10" s="52">
        <f t="shared" si="3"/>
        <v>4.0410877095194489E-2</v>
      </c>
      <c r="I10" s="49">
        <v>131</v>
      </c>
      <c r="J10" s="49">
        <v>131</v>
      </c>
      <c r="K10" s="49">
        <v>131</v>
      </c>
      <c r="L10" s="49">
        <v>115.4</v>
      </c>
      <c r="M10" s="49">
        <v>136.9</v>
      </c>
      <c r="N10" s="49">
        <v>138</v>
      </c>
      <c r="O10" s="49">
        <v>138.80000000000001</v>
      </c>
      <c r="P10" s="49">
        <v>140</v>
      </c>
      <c r="Q10" s="49">
        <v>140</v>
      </c>
      <c r="R10" s="49">
        <v>131.1</v>
      </c>
      <c r="S10" s="49">
        <v>118.2</v>
      </c>
      <c r="T10" s="49">
        <v>132</v>
      </c>
    </row>
    <row r="11" spans="1:22" s="53" customFormat="1" ht="15.75" customHeight="1" x14ac:dyDescent="0.25">
      <c r="A11" s="50">
        <v>1933</v>
      </c>
      <c r="B11" s="50">
        <v>12</v>
      </c>
      <c r="C11" s="51">
        <f t="shared" si="0"/>
        <v>131.80833333333334</v>
      </c>
      <c r="D11" s="51">
        <f t="shared" si="1"/>
        <v>1581.7</v>
      </c>
      <c r="E11" s="49">
        <v>3265.21</v>
      </c>
      <c r="F11" s="49">
        <f t="shared" si="2"/>
        <v>24.772409432888665</v>
      </c>
      <c r="G11" s="52">
        <f t="shared" si="3"/>
        <v>4.0367490401332022E-2</v>
      </c>
      <c r="I11" s="49">
        <v>132</v>
      </c>
      <c r="J11" s="49">
        <v>132</v>
      </c>
      <c r="K11" s="49">
        <v>127.4</v>
      </c>
      <c r="L11" s="49">
        <v>135</v>
      </c>
      <c r="M11" s="49">
        <v>135</v>
      </c>
      <c r="N11" s="49">
        <v>135</v>
      </c>
      <c r="O11" s="49">
        <v>144</v>
      </c>
      <c r="P11" s="49">
        <v>144</v>
      </c>
      <c r="Q11" s="49">
        <v>143.19999999999999</v>
      </c>
      <c r="R11" s="49">
        <v>110.1</v>
      </c>
      <c r="S11" s="49">
        <v>122</v>
      </c>
      <c r="T11" s="49">
        <v>122</v>
      </c>
    </row>
    <row r="12" spans="1:22" s="53" customFormat="1" ht="15.75" customHeight="1" x14ac:dyDescent="0.25">
      <c r="A12" s="50">
        <v>1934</v>
      </c>
      <c r="B12" s="50">
        <v>12</v>
      </c>
      <c r="C12" s="51">
        <f t="shared" si="0"/>
        <v>112.77499999999999</v>
      </c>
      <c r="D12" s="51">
        <f t="shared" si="1"/>
        <v>1353.3</v>
      </c>
      <c r="E12" s="49">
        <v>3265.21</v>
      </c>
      <c r="F12" s="49">
        <f t="shared" si="2"/>
        <v>28.953314121037465</v>
      </c>
      <c r="G12" s="52">
        <f t="shared" si="3"/>
        <v>3.4538360472986418E-2</v>
      </c>
      <c r="I12" s="49">
        <v>122</v>
      </c>
      <c r="J12" s="49">
        <v>122</v>
      </c>
      <c r="K12" s="49">
        <v>122</v>
      </c>
      <c r="L12" s="49">
        <v>129</v>
      </c>
      <c r="M12" s="49">
        <v>125.1</v>
      </c>
      <c r="N12" s="49">
        <v>122</v>
      </c>
      <c r="O12" s="49">
        <v>130.5</v>
      </c>
      <c r="P12" s="49">
        <v>144</v>
      </c>
      <c r="Q12" s="49">
        <v>144</v>
      </c>
      <c r="R12" s="49">
        <v>91.2</v>
      </c>
      <c r="S12" s="49">
        <v>48</v>
      </c>
      <c r="T12" s="49">
        <v>53.5</v>
      </c>
    </row>
    <row r="13" spans="1:22" s="53" customFormat="1" ht="15.75" customHeight="1" x14ac:dyDescent="0.25">
      <c r="A13" s="50">
        <v>1935</v>
      </c>
      <c r="B13" s="50">
        <v>12</v>
      </c>
      <c r="C13" s="51">
        <f t="shared" si="0"/>
        <v>113.15833333333335</v>
      </c>
      <c r="D13" s="51">
        <f t="shared" si="1"/>
        <v>1357.9</v>
      </c>
      <c r="E13" s="49">
        <v>3265.21</v>
      </c>
      <c r="F13" s="49">
        <f t="shared" si="2"/>
        <v>28.855232344060678</v>
      </c>
      <c r="G13" s="52">
        <f t="shared" si="3"/>
        <v>3.4655759762261339E-2</v>
      </c>
      <c r="I13" s="49">
        <v>96</v>
      </c>
      <c r="J13" s="49">
        <v>96</v>
      </c>
      <c r="K13" s="49">
        <v>96</v>
      </c>
      <c r="L13" s="49">
        <v>96</v>
      </c>
      <c r="M13" s="49">
        <v>96</v>
      </c>
      <c r="N13" s="49">
        <v>96</v>
      </c>
      <c r="O13" s="49">
        <v>174</v>
      </c>
      <c r="P13" s="49">
        <v>159.80000000000001</v>
      </c>
      <c r="Q13" s="49">
        <v>130</v>
      </c>
      <c r="R13" s="49">
        <v>117.4</v>
      </c>
      <c r="S13" s="49">
        <v>95.7</v>
      </c>
      <c r="T13" s="49">
        <v>105</v>
      </c>
    </row>
    <row r="14" spans="1:22" s="53" customFormat="1" ht="15.75" customHeight="1" x14ac:dyDescent="0.25">
      <c r="A14" s="50">
        <v>1936</v>
      </c>
      <c r="B14" s="50">
        <v>12</v>
      </c>
      <c r="C14" s="51">
        <f t="shared" si="0"/>
        <v>104.70833333333333</v>
      </c>
      <c r="D14" s="51">
        <f t="shared" si="1"/>
        <v>1256.5</v>
      </c>
      <c r="E14" s="49">
        <v>3265.21</v>
      </c>
      <c r="F14" s="49">
        <f t="shared" si="2"/>
        <v>31.183859928372463</v>
      </c>
      <c r="G14" s="52">
        <f t="shared" si="3"/>
        <v>3.2067871081288286E-2</v>
      </c>
      <c r="I14" s="49">
        <v>105</v>
      </c>
      <c r="J14" s="49">
        <v>105</v>
      </c>
      <c r="K14" s="49">
        <v>105</v>
      </c>
      <c r="L14" s="49">
        <v>105</v>
      </c>
      <c r="M14" s="49">
        <v>105</v>
      </c>
      <c r="N14" s="49">
        <v>105</v>
      </c>
      <c r="O14" s="49">
        <v>105</v>
      </c>
      <c r="P14" s="49">
        <v>105</v>
      </c>
      <c r="Q14" s="49">
        <v>105</v>
      </c>
      <c r="R14" s="49">
        <v>195.2</v>
      </c>
      <c r="S14" s="49">
        <v>59.3</v>
      </c>
      <c r="T14" s="49">
        <v>57</v>
      </c>
      <c r="V14" s="48"/>
    </row>
    <row r="15" spans="1:22" s="53" customFormat="1" ht="15.75" customHeight="1" x14ac:dyDescent="0.3">
      <c r="A15" s="50">
        <v>1937</v>
      </c>
      <c r="B15" s="50">
        <v>12</v>
      </c>
      <c r="C15" s="51">
        <f t="shared" si="0"/>
        <v>51.099999999999994</v>
      </c>
      <c r="D15" s="51">
        <f t="shared" si="1"/>
        <v>613.19999999999993</v>
      </c>
      <c r="E15" s="49">
        <v>2098.66</v>
      </c>
      <c r="F15" s="49">
        <f t="shared" si="2"/>
        <v>41.06966731898239</v>
      </c>
      <c r="G15" s="52">
        <f t="shared" si="3"/>
        <v>2.4348870231481041E-2</v>
      </c>
      <c r="I15" s="49">
        <v>57</v>
      </c>
      <c r="J15" s="49">
        <v>57</v>
      </c>
      <c r="K15" s="49">
        <v>57.7</v>
      </c>
      <c r="L15" s="49">
        <v>57</v>
      </c>
      <c r="M15" s="49">
        <v>53</v>
      </c>
      <c r="N15" s="49">
        <v>52.4</v>
      </c>
      <c r="O15" s="49">
        <v>52</v>
      </c>
      <c r="P15" s="49">
        <v>52</v>
      </c>
      <c r="Q15" s="49">
        <v>52</v>
      </c>
      <c r="R15" s="49">
        <v>47.1</v>
      </c>
      <c r="S15" s="49">
        <v>38</v>
      </c>
      <c r="T15" s="49">
        <v>38</v>
      </c>
      <c r="V15" s="90"/>
    </row>
    <row r="16" spans="1:22" s="53" customFormat="1" ht="15.75" customHeight="1" x14ac:dyDescent="0.25">
      <c r="A16" s="50">
        <v>1938</v>
      </c>
      <c r="B16" s="50">
        <v>12</v>
      </c>
      <c r="C16" s="51">
        <f t="shared" si="0"/>
        <v>39.541666666666664</v>
      </c>
      <c r="D16" s="51">
        <f t="shared" si="1"/>
        <v>474.5</v>
      </c>
      <c r="E16" s="49">
        <v>2098.66</v>
      </c>
      <c r="F16" s="49">
        <f t="shared" si="2"/>
        <v>53.07464699683878</v>
      </c>
      <c r="G16" s="52">
        <f t="shared" si="3"/>
        <v>1.8841387679122235E-2</v>
      </c>
      <c r="I16" s="49">
        <v>38</v>
      </c>
      <c r="J16" s="49">
        <v>38</v>
      </c>
      <c r="K16" s="49">
        <v>38</v>
      </c>
      <c r="L16" s="49">
        <v>38</v>
      </c>
      <c r="M16" s="49">
        <v>38</v>
      </c>
      <c r="N16" s="49">
        <v>38</v>
      </c>
      <c r="O16" s="49">
        <v>44</v>
      </c>
      <c r="P16" s="49">
        <v>44</v>
      </c>
      <c r="Q16" s="49">
        <v>44</v>
      </c>
      <c r="R16" s="49">
        <v>44</v>
      </c>
      <c r="S16" s="49">
        <v>33.5</v>
      </c>
      <c r="T16" s="49">
        <v>37</v>
      </c>
    </row>
    <row r="17" spans="1:20" s="53" customFormat="1" ht="15.75" customHeight="1" x14ac:dyDescent="0.25">
      <c r="A17" s="50">
        <v>1939</v>
      </c>
      <c r="B17" s="50">
        <v>12</v>
      </c>
      <c r="C17" s="51">
        <f t="shared" si="0"/>
        <v>39.949999999999996</v>
      </c>
      <c r="D17" s="51">
        <f t="shared" si="1"/>
        <v>479.4</v>
      </c>
      <c r="E17" s="49">
        <v>2098.66</v>
      </c>
      <c r="F17" s="49">
        <f t="shared" si="2"/>
        <v>52.532165206508139</v>
      </c>
      <c r="G17" s="52">
        <f t="shared" si="3"/>
        <v>1.9035956276862376E-2</v>
      </c>
      <c r="I17" s="49">
        <v>37</v>
      </c>
      <c r="J17" s="49">
        <v>37</v>
      </c>
      <c r="K17" s="49">
        <v>38.6</v>
      </c>
      <c r="L17" s="49">
        <v>41.9</v>
      </c>
      <c r="M17" s="49">
        <v>43</v>
      </c>
      <c r="N17" s="49">
        <v>43</v>
      </c>
      <c r="O17" s="49">
        <v>46</v>
      </c>
      <c r="P17" s="49">
        <v>46</v>
      </c>
      <c r="Q17" s="49">
        <v>46</v>
      </c>
      <c r="R17" s="49">
        <v>46</v>
      </c>
      <c r="S17" s="49">
        <v>25.9</v>
      </c>
      <c r="T17" s="49">
        <v>29</v>
      </c>
    </row>
    <row r="18" spans="1:20" s="53" customFormat="1" ht="15.75" customHeight="1" x14ac:dyDescent="0.25">
      <c r="A18" s="50">
        <v>1940</v>
      </c>
      <c r="B18" s="50">
        <v>12</v>
      </c>
      <c r="C18" s="51">
        <f t="shared" si="0"/>
        <v>42.258333333333333</v>
      </c>
      <c r="D18" s="51">
        <f t="shared" si="1"/>
        <v>507.1</v>
      </c>
      <c r="E18" s="49">
        <v>2098.66</v>
      </c>
      <c r="F18" s="49">
        <f t="shared" si="2"/>
        <v>49.662630644843226</v>
      </c>
      <c r="G18" s="52">
        <f t="shared" si="3"/>
        <v>2.0135864472250548E-2</v>
      </c>
      <c r="I18" s="49">
        <v>31.7</v>
      </c>
      <c r="J18" s="49">
        <v>35.700000000000003</v>
      </c>
      <c r="K18" s="49">
        <v>41.1</v>
      </c>
      <c r="L18" s="49">
        <v>43</v>
      </c>
      <c r="M18" s="49">
        <v>43</v>
      </c>
      <c r="N18" s="49">
        <v>43</v>
      </c>
      <c r="O18" s="49">
        <v>43</v>
      </c>
      <c r="P18" s="49">
        <v>43</v>
      </c>
      <c r="Q18" s="49">
        <v>43</v>
      </c>
      <c r="R18" s="49">
        <v>58.3</v>
      </c>
      <c r="S18" s="49">
        <v>46.3</v>
      </c>
      <c r="T18" s="49">
        <v>36</v>
      </c>
    </row>
    <row r="19" spans="1:20" s="53" customFormat="1" ht="15.75" customHeight="1" x14ac:dyDescent="0.25">
      <c r="A19" s="50">
        <v>1941</v>
      </c>
      <c r="B19" s="50">
        <v>12</v>
      </c>
      <c r="C19" s="51">
        <f t="shared" si="0"/>
        <v>43.366666666666667</v>
      </c>
      <c r="D19" s="51">
        <f t="shared" si="1"/>
        <v>520.4</v>
      </c>
      <c r="E19" s="49">
        <v>2098.66</v>
      </c>
      <c r="F19" s="49">
        <f t="shared" si="2"/>
        <v>48.393389700230586</v>
      </c>
      <c r="G19" s="52">
        <f t="shared" si="3"/>
        <v>2.0663979237545229E-2</v>
      </c>
      <c r="I19" s="49">
        <v>36</v>
      </c>
      <c r="J19" s="49">
        <v>31.6</v>
      </c>
      <c r="K19" s="49">
        <v>59.7</v>
      </c>
      <c r="L19" s="49">
        <v>62</v>
      </c>
      <c r="M19" s="49">
        <v>60.8</v>
      </c>
      <c r="N19" s="49">
        <v>54.5</v>
      </c>
      <c r="O19" s="49">
        <v>58.7</v>
      </c>
      <c r="P19" s="49">
        <v>51.7</v>
      </c>
      <c r="Q19" s="49">
        <v>47.4</v>
      </c>
      <c r="R19" s="49">
        <v>21</v>
      </c>
      <c r="S19" s="49">
        <v>1.2</v>
      </c>
      <c r="T19" s="49">
        <v>35.799999999999997</v>
      </c>
    </row>
    <row r="20" spans="1:20" s="53" customFormat="1" ht="15.75" customHeight="1" x14ac:dyDescent="0.25">
      <c r="A20" s="50">
        <v>1942</v>
      </c>
      <c r="B20" s="50">
        <v>12</v>
      </c>
      <c r="C20" s="51">
        <f t="shared" si="0"/>
        <v>39.36666666666666</v>
      </c>
      <c r="D20" s="51">
        <f t="shared" si="1"/>
        <v>472.39999999999992</v>
      </c>
      <c r="E20" s="49">
        <v>2098.66</v>
      </c>
      <c r="F20" s="49">
        <f t="shared" si="2"/>
        <v>53.31058425063506</v>
      </c>
      <c r="G20" s="52">
        <f t="shared" si="3"/>
        <v>1.8758001137233599E-2</v>
      </c>
      <c r="I20" s="49">
        <v>41</v>
      </c>
      <c r="J20" s="49">
        <v>41</v>
      </c>
      <c r="K20" s="49">
        <v>44.5</v>
      </c>
      <c r="L20" s="49">
        <v>49</v>
      </c>
      <c r="M20" s="49">
        <v>48.4</v>
      </c>
      <c r="N20" s="49">
        <v>48</v>
      </c>
      <c r="O20" s="49">
        <v>48</v>
      </c>
      <c r="P20" s="49">
        <v>47.4</v>
      </c>
      <c r="Q20" s="49">
        <v>47</v>
      </c>
      <c r="R20" s="49">
        <v>34.9</v>
      </c>
      <c r="S20" s="49">
        <v>0</v>
      </c>
      <c r="T20" s="49">
        <v>23.2</v>
      </c>
    </row>
    <row r="21" spans="1:20" s="53" customFormat="1" ht="15.75" customHeight="1" x14ac:dyDescent="0.25">
      <c r="A21" s="50">
        <v>1943</v>
      </c>
      <c r="B21" s="50">
        <v>12</v>
      </c>
      <c r="C21" s="51">
        <f t="shared" si="0"/>
        <v>44.75</v>
      </c>
      <c r="D21" s="51">
        <f t="shared" si="1"/>
        <v>537</v>
      </c>
      <c r="E21" s="49">
        <v>2098.66</v>
      </c>
      <c r="F21" s="49">
        <f t="shared" si="2"/>
        <v>46.897430167597761</v>
      </c>
      <c r="G21" s="52">
        <f t="shared" si="3"/>
        <v>2.1323129997236335E-2</v>
      </c>
      <c r="I21" s="49">
        <v>45</v>
      </c>
      <c r="J21" s="49">
        <v>45</v>
      </c>
      <c r="K21" s="49">
        <v>47.1</v>
      </c>
      <c r="L21" s="49">
        <v>47.7</v>
      </c>
      <c r="M21" s="49">
        <v>47</v>
      </c>
      <c r="N21" s="49">
        <v>47</v>
      </c>
      <c r="O21" s="49">
        <v>47</v>
      </c>
      <c r="P21" s="49">
        <v>47</v>
      </c>
      <c r="Q21" s="49">
        <v>49.2</v>
      </c>
      <c r="R21" s="49">
        <v>40.4</v>
      </c>
      <c r="S21" s="49">
        <v>34.6</v>
      </c>
      <c r="T21" s="49">
        <v>40</v>
      </c>
    </row>
    <row r="22" spans="1:20" s="53" customFormat="1" ht="15.75" customHeight="1" x14ac:dyDescent="0.25">
      <c r="A22" s="50">
        <v>1944</v>
      </c>
      <c r="B22" s="50">
        <v>12</v>
      </c>
      <c r="C22" s="51">
        <f t="shared" si="0"/>
        <v>29.441666666666666</v>
      </c>
      <c r="D22" s="51">
        <f t="shared" si="1"/>
        <v>353.3</v>
      </c>
      <c r="E22" s="49">
        <v>2098.66</v>
      </c>
      <c r="F22" s="49">
        <f t="shared" si="2"/>
        <v>71.28196999716954</v>
      </c>
      <c r="G22" s="52">
        <f t="shared" si="3"/>
        <v>1.4028792975835376E-2</v>
      </c>
      <c r="I22" s="49">
        <v>40</v>
      </c>
      <c r="J22" s="49">
        <v>40</v>
      </c>
      <c r="K22" s="49">
        <v>41.5</v>
      </c>
      <c r="L22" s="49">
        <v>42</v>
      </c>
      <c r="M22" s="49">
        <v>42</v>
      </c>
      <c r="N22" s="49">
        <v>42</v>
      </c>
      <c r="O22" s="49">
        <v>42</v>
      </c>
      <c r="P22" s="49">
        <v>41</v>
      </c>
      <c r="Q22" s="49">
        <v>22.8</v>
      </c>
      <c r="R22" s="49">
        <v>0</v>
      </c>
      <c r="S22" s="49">
        <v>0</v>
      </c>
      <c r="T22" s="49">
        <v>0</v>
      </c>
    </row>
    <row r="23" spans="1:20" s="53" customFormat="1" ht="15.75" customHeight="1" x14ac:dyDescent="0.25">
      <c r="A23" s="50">
        <v>1945</v>
      </c>
      <c r="B23" s="50">
        <v>12</v>
      </c>
      <c r="C23" s="51">
        <f t="shared" si="0"/>
        <v>17.358333333333331</v>
      </c>
      <c r="D23" s="51">
        <f t="shared" si="1"/>
        <v>208.29999999999998</v>
      </c>
      <c r="E23" s="49">
        <v>2098.66</v>
      </c>
      <c r="F23" s="49">
        <f t="shared" si="2"/>
        <v>120.90216034565532</v>
      </c>
      <c r="G23" s="52">
        <f t="shared" si="3"/>
        <v>8.2711507978106662E-3</v>
      </c>
      <c r="I23" s="49">
        <v>0</v>
      </c>
      <c r="J23" s="49">
        <v>0</v>
      </c>
      <c r="K23" s="49">
        <v>0</v>
      </c>
      <c r="L23" s="49">
        <v>21</v>
      </c>
      <c r="M23" s="49">
        <v>39.700000000000003</v>
      </c>
      <c r="N23" s="49">
        <v>23</v>
      </c>
      <c r="O23" s="49">
        <v>23</v>
      </c>
      <c r="P23" s="49">
        <v>22.4</v>
      </c>
      <c r="Q23" s="49">
        <v>22</v>
      </c>
      <c r="R23" s="49">
        <v>8.6</v>
      </c>
      <c r="S23" s="49">
        <v>18.2</v>
      </c>
      <c r="T23" s="49">
        <v>30.4</v>
      </c>
    </row>
    <row r="24" spans="1:20" s="53" customFormat="1" ht="15.75" customHeight="1" x14ac:dyDescent="0.25">
      <c r="A24" s="50">
        <v>1946</v>
      </c>
      <c r="B24" s="50">
        <v>12</v>
      </c>
      <c r="C24" s="51">
        <f t="shared" si="0"/>
        <v>32.116666666666667</v>
      </c>
      <c r="D24" s="51">
        <f t="shared" si="1"/>
        <v>385.4</v>
      </c>
      <c r="E24" s="49">
        <v>2098.66</v>
      </c>
      <c r="F24" s="49">
        <f t="shared" si="2"/>
        <v>65.344888427607671</v>
      </c>
      <c r="G24" s="52">
        <f t="shared" si="3"/>
        <v>1.5303415830418776E-2</v>
      </c>
      <c r="I24" s="49">
        <v>35</v>
      </c>
      <c r="J24" s="49">
        <v>35</v>
      </c>
      <c r="K24" s="49">
        <v>37</v>
      </c>
      <c r="L24" s="49">
        <v>37</v>
      </c>
      <c r="M24" s="49">
        <v>24.4</v>
      </c>
      <c r="N24" s="49">
        <v>33.799999999999997</v>
      </c>
      <c r="O24" s="49">
        <v>34</v>
      </c>
      <c r="P24" s="49">
        <v>34</v>
      </c>
      <c r="Q24" s="49">
        <v>34</v>
      </c>
      <c r="R24" s="49">
        <v>21.2</v>
      </c>
      <c r="S24" s="49">
        <v>20</v>
      </c>
      <c r="T24" s="49">
        <v>40</v>
      </c>
    </row>
    <row r="25" spans="1:20" s="53" customFormat="1" ht="15.75" customHeight="1" x14ac:dyDescent="0.25">
      <c r="A25" s="50">
        <v>1947</v>
      </c>
      <c r="B25" s="50">
        <v>12</v>
      </c>
      <c r="C25" s="51">
        <f t="shared" si="0"/>
        <v>43.708333333333336</v>
      </c>
      <c r="D25" s="51">
        <f t="shared" si="1"/>
        <v>524.5</v>
      </c>
      <c r="E25" s="49">
        <v>2098.66</v>
      </c>
      <c r="F25" s="49">
        <f t="shared" si="2"/>
        <v>48.015100095328876</v>
      </c>
      <c r="G25" s="52">
        <f t="shared" si="3"/>
        <v>2.0826781533613514E-2</v>
      </c>
      <c r="I25" s="49">
        <v>40</v>
      </c>
      <c r="J25" s="49">
        <v>40</v>
      </c>
      <c r="K25" s="49">
        <v>41.3</v>
      </c>
      <c r="L25" s="49">
        <v>42.9</v>
      </c>
      <c r="M25" s="49">
        <v>42</v>
      </c>
      <c r="N25" s="49">
        <v>42</v>
      </c>
      <c r="O25" s="49">
        <v>42</v>
      </c>
      <c r="P25" s="49">
        <v>42</v>
      </c>
      <c r="Q25" s="49">
        <v>52.5</v>
      </c>
      <c r="R25" s="49">
        <v>57</v>
      </c>
      <c r="S25" s="49">
        <v>32.799999999999997</v>
      </c>
      <c r="T25" s="49">
        <v>50</v>
      </c>
    </row>
    <row r="26" spans="1:20" s="53" customFormat="1" ht="15.75" customHeight="1" x14ac:dyDescent="0.25">
      <c r="A26" s="50">
        <v>1948</v>
      </c>
      <c r="B26" s="50">
        <v>12</v>
      </c>
      <c r="C26" s="51">
        <f t="shared" si="0"/>
        <v>58.574999999999996</v>
      </c>
      <c r="D26" s="51">
        <f t="shared" si="1"/>
        <v>702.9</v>
      </c>
      <c r="E26" s="49">
        <v>2098.66</v>
      </c>
      <c r="F26" s="49">
        <f t="shared" si="2"/>
        <v>35.828595817328214</v>
      </c>
      <c r="G26" s="52">
        <f t="shared" si="3"/>
        <v>2.7910666806438392E-2</v>
      </c>
      <c r="I26" s="49">
        <v>56.7</v>
      </c>
      <c r="J26" s="49">
        <v>57</v>
      </c>
      <c r="K26" s="49">
        <v>58.1</v>
      </c>
      <c r="L26" s="49">
        <v>59.9</v>
      </c>
      <c r="M26" s="49">
        <v>62.1</v>
      </c>
      <c r="N26" s="49">
        <v>65.599999999999994</v>
      </c>
      <c r="O26" s="49">
        <v>65</v>
      </c>
      <c r="P26" s="49">
        <v>65</v>
      </c>
      <c r="Q26" s="49">
        <v>64.400000000000006</v>
      </c>
      <c r="R26" s="49">
        <v>63.9</v>
      </c>
      <c r="S26" s="49">
        <v>32.200000000000003</v>
      </c>
      <c r="T26" s="49">
        <v>53</v>
      </c>
    </row>
    <row r="27" spans="1:20" s="53" customFormat="1" ht="15.75" customHeight="1" x14ac:dyDescent="0.25">
      <c r="A27" s="50">
        <v>1949</v>
      </c>
      <c r="B27" s="50">
        <v>12</v>
      </c>
      <c r="C27" s="51">
        <f t="shared" si="0"/>
        <v>32.700000000000003</v>
      </c>
      <c r="D27" s="51">
        <f t="shared" si="1"/>
        <v>392.40000000000003</v>
      </c>
      <c r="E27" s="49">
        <v>2098.66</v>
      </c>
      <c r="F27" s="49">
        <f t="shared" si="2"/>
        <v>64.179204892966354</v>
      </c>
      <c r="G27" s="52">
        <f t="shared" si="3"/>
        <v>1.5581370970047557E-2</v>
      </c>
      <c r="I27" s="49">
        <v>53</v>
      </c>
      <c r="J27" s="49">
        <v>53</v>
      </c>
      <c r="K27" s="49">
        <v>56.9</v>
      </c>
      <c r="L27" s="49">
        <v>57.7</v>
      </c>
      <c r="M27" s="49">
        <v>57</v>
      </c>
      <c r="N27" s="49">
        <v>57</v>
      </c>
      <c r="O27" s="49">
        <v>51.3</v>
      </c>
      <c r="P27" s="49">
        <v>6.5</v>
      </c>
      <c r="Q27" s="49">
        <v>0</v>
      </c>
      <c r="R27" s="49">
        <v>0</v>
      </c>
      <c r="S27" s="49">
        <v>0</v>
      </c>
      <c r="T27" s="49">
        <v>0</v>
      </c>
    </row>
    <row r="28" spans="1:20" s="53" customFormat="1" ht="15.75" customHeight="1" x14ac:dyDescent="0.25">
      <c r="A28" s="50">
        <v>1950</v>
      </c>
      <c r="B28" s="50">
        <v>12</v>
      </c>
      <c r="C28" s="51">
        <f t="shared" si="0"/>
        <v>15.6</v>
      </c>
      <c r="D28" s="51">
        <f t="shared" si="1"/>
        <v>187.2</v>
      </c>
      <c r="E28" s="49">
        <v>2098.66</v>
      </c>
      <c r="F28" s="49">
        <f t="shared" si="2"/>
        <v>134.52948717948718</v>
      </c>
      <c r="G28" s="52">
        <f t="shared" si="3"/>
        <v>7.4333145912153474E-3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31</v>
      </c>
      <c r="S28" s="49">
        <v>107</v>
      </c>
      <c r="T28" s="49">
        <v>49.2</v>
      </c>
    </row>
    <row r="29" spans="1:20" s="53" customFormat="1" ht="15.75" customHeight="1" x14ac:dyDescent="0.25">
      <c r="A29" s="50">
        <v>1951</v>
      </c>
      <c r="B29" s="50">
        <v>12</v>
      </c>
      <c r="C29" s="51">
        <f t="shared" si="0"/>
        <v>33.141666666666659</v>
      </c>
      <c r="D29" s="51">
        <f t="shared" si="1"/>
        <v>397.69999999999993</v>
      </c>
      <c r="E29" s="49">
        <v>2098.66</v>
      </c>
      <c r="F29" s="49">
        <f t="shared" si="2"/>
        <v>63.323912496856941</v>
      </c>
      <c r="G29" s="52">
        <f t="shared" si="3"/>
        <v>1.5791822718623626E-2</v>
      </c>
      <c r="I29" s="49">
        <v>34</v>
      </c>
      <c r="J29" s="49">
        <v>34</v>
      </c>
      <c r="K29" s="49">
        <v>66.7</v>
      </c>
      <c r="L29" s="49">
        <v>38.200000000000003</v>
      </c>
      <c r="M29" s="49">
        <v>0</v>
      </c>
      <c r="N29" s="49">
        <v>6.9</v>
      </c>
      <c r="O29" s="49">
        <v>32.5</v>
      </c>
      <c r="P29" s="49">
        <v>36</v>
      </c>
      <c r="Q29" s="49">
        <v>36</v>
      </c>
      <c r="R29" s="49">
        <v>43</v>
      </c>
      <c r="S29" s="49">
        <v>26.2</v>
      </c>
      <c r="T29" s="49">
        <v>44.2</v>
      </c>
    </row>
    <row r="30" spans="1:20" s="53" customFormat="1" ht="15.75" customHeight="1" x14ac:dyDescent="0.25">
      <c r="A30" s="50">
        <v>1952</v>
      </c>
      <c r="B30" s="50">
        <v>12</v>
      </c>
      <c r="C30" s="51">
        <f t="shared" si="0"/>
        <v>35.483333333333327</v>
      </c>
      <c r="D30" s="51">
        <f t="shared" si="1"/>
        <v>425.79999999999995</v>
      </c>
      <c r="E30" s="49">
        <v>2098.66</v>
      </c>
      <c r="F30" s="49">
        <f t="shared" si="2"/>
        <v>59.144950681070931</v>
      </c>
      <c r="G30" s="52">
        <f t="shared" si="3"/>
        <v>1.6907614064847726E-2</v>
      </c>
      <c r="I30" s="49">
        <v>41.9</v>
      </c>
      <c r="J30" s="49">
        <v>50.4</v>
      </c>
      <c r="K30" s="49">
        <v>54.8</v>
      </c>
      <c r="L30" s="49">
        <v>31.7</v>
      </c>
      <c r="M30" s="49">
        <v>27</v>
      </c>
      <c r="N30" s="49">
        <v>26.8</v>
      </c>
      <c r="O30" s="49">
        <v>27.6</v>
      </c>
      <c r="P30" s="49">
        <v>51.8</v>
      </c>
      <c r="Q30" s="49">
        <v>31.2</v>
      </c>
      <c r="R30" s="49">
        <v>1.4</v>
      </c>
      <c r="S30" s="49">
        <v>37.200000000000003</v>
      </c>
      <c r="T30" s="49">
        <v>44</v>
      </c>
    </row>
    <row r="31" spans="1:20" s="53" customFormat="1" ht="15.75" customHeight="1" x14ac:dyDescent="0.25">
      <c r="A31" s="50">
        <v>1953</v>
      </c>
      <c r="B31" s="50">
        <v>12</v>
      </c>
      <c r="C31" s="51">
        <f t="shared" si="0"/>
        <v>29.958333333333329</v>
      </c>
      <c r="D31" s="51">
        <f t="shared" si="1"/>
        <v>359.49999999999994</v>
      </c>
      <c r="E31" s="49">
        <v>2098.66</v>
      </c>
      <c r="F31" s="49">
        <f t="shared" si="2"/>
        <v>70.05262865090404</v>
      </c>
      <c r="G31" s="52">
        <f t="shared" si="3"/>
        <v>1.4274981813792291E-2</v>
      </c>
      <c r="I31" s="49">
        <v>42.9</v>
      </c>
      <c r="J31" s="49">
        <v>42</v>
      </c>
      <c r="K31" s="49">
        <v>36.5</v>
      </c>
      <c r="L31" s="49">
        <v>43.8</v>
      </c>
      <c r="M31" s="49">
        <v>13.5</v>
      </c>
      <c r="N31" s="49">
        <v>24.6</v>
      </c>
      <c r="O31" s="49">
        <v>27</v>
      </c>
      <c r="P31" s="49">
        <v>27</v>
      </c>
      <c r="Q31" s="49">
        <v>26.2</v>
      </c>
      <c r="R31" s="49">
        <v>26</v>
      </c>
      <c r="S31" s="49">
        <v>24.5</v>
      </c>
      <c r="T31" s="49">
        <v>25.5</v>
      </c>
    </row>
    <row r="32" spans="1:20" s="53" customFormat="1" ht="15.75" customHeight="1" x14ac:dyDescent="0.25">
      <c r="A32" s="50">
        <v>1954</v>
      </c>
      <c r="B32" s="50">
        <v>12</v>
      </c>
      <c r="C32" s="51">
        <f t="shared" si="0"/>
        <v>30.083333333333332</v>
      </c>
      <c r="D32" s="51">
        <f t="shared" si="1"/>
        <v>361</v>
      </c>
      <c r="E32" s="49">
        <v>2098.66</v>
      </c>
      <c r="F32" s="49">
        <f t="shared" si="2"/>
        <v>69.761551246537394</v>
      </c>
      <c r="G32" s="52">
        <f t="shared" si="3"/>
        <v>1.4334543629427031E-2</v>
      </c>
      <c r="I32" s="49">
        <v>26</v>
      </c>
      <c r="J32" s="49">
        <v>26</v>
      </c>
      <c r="K32" s="49">
        <v>21.7</v>
      </c>
      <c r="L32" s="49">
        <v>0</v>
      </c>
      <c r="M32" s="49">
        <v>0</v>
      </c>
      <c r="N32" s="49">
        <v>28.6</v>
      </c>
      <c r="O32" s="49">
        <v>40.799999999999997</v>
      </c>
      <c r="P32" s="49">
        <v>41</v>
      </c>
      <c r="Q32" s="49">
        <v>41</v>
      </c>
      <c r="R32" s="49">
        <v>39.9</v>
      </c>
      <c r="S32" s="49">
        <v>39</v>
      </c>
      <c r="T32" s="49">
        <v>57</v>
      </c>
    </row>
    <row r="33" spans="1:20" s="53" customFormat="1" ht="15.75" customHeight="1" x14ac:dyDescent="0.25">
      <c r="A33" s="50">
        <v>1955</v>
      </c>
      <c r="B33" s="50">
        <v>12</v>
      </c>
      <c r="C33" s="51">
        <f t="shared" si="0"/>
        <v>55.366666666666667</v>
      </c>
      <c r="D33" s="51">
        <f t="shared" si="1"/>
        <v>664.4</v>
      </c>
      <c r="E33" s="49">
        <v>2098.66</v>
      </c>
      <c r="F33" s="49">
        <f t="shared" si="2"/>
        <v>37.904756170981337</v>
      </c>
      <c r="G33" s="52">
        <f t="shared" si="3"/>
        <v>2.6381913538480111E-2</v>
      </c>
      <c r="I33" s="49">
        <v>70</v>
      </c>
      <c r="J33" s="49">
        <v>70</v>
      </c>
      <c r="K33" s="49">
        <v>72</v>
      </c>
      <c r="L33" s="49">
        <v>63.7</v>
      </c>
      <c r="M33" s="49">
        <v>67.599999999999994</v>
      </c>
      <c r="N33" s="49">
        <v>68</v>
      </c>
      <c r="O33" s="49">
        <v>69.2</v>
      </c>
      <c r="P33" s="49">
        <v>74</v>
      </c>
      <c r="Q33" s="49">
        <v>74</v>
      </c>
      <c r="R33" s="49">
        <v>31.9</v>
      </c>
      <c r="S33" s="49">
        <v>2</v>
      </c>
      <c r="T33" s="49">
        <v>2</v>
      </c>
    </row>
    <row r="34" spans="1:20" s="53" customFormat="1" ht="15.75" customHeight="1" x14ac:dyDescent="0.25">
      <c r="A34" s="50">
        <v>1956</v>
      </c>
      <c r="B34" s="50">
        <v>12</v>
      </c>
      <c r="C34" s="51">
        <f t="shared" si="0"/>
        <v>52.774999999999999</v>
      </c>
      <c r="D34" s="51">
        <f t="shared" si="1"/>
        <v>633.29999999999995</v>
      </c>
      <c r="E34" s="49">
        <v>2098.66</v>
      </c>
      <c r="F34" s="49">
        <f t="shared" si="2"/>
        <v>39.766177167219325</v>
      </c>
      <c r="G34" s="52">
        <f t="shared" si="3"/>
        <v>2.5146998560986535E-2</v>
      </c>
      <c r="I34" s="49">
        <v>0</v>
      </c>
      <c r="J34" s="49">
        <v>0</v>
      </c>
      <c r="K34" s="49">
        <v>105.5</v>
      </c>
      <c r="L34" s="49">
        <v>128.30000000000001</v>
      </c>
      <c r="M34" s="49">
        <v>102.7</v>
      </c>
      <c r="N34" s="49">
        <v>112.9</v>
      </c>
      <c r="O34" s="49">
        <v>108.1</v>
      </c>
      <c r="P34" s="49">
        <v>69.8</v>
      </c>
      <c r="Q34" s="49">
        <v>6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50">
        <v>1957</v>
      </c>
      <c r="B35" s="50">
        <v>12</v>
      </c>
      <c r="C35" s="51">
        <f t="shared" si="0"/>
        <v>8.1916666666666664</v>
      </c>
      <c r="D35" s="51">
        <f t="shared" si="1"/>
        <v>98.3</v>
      </c>
      <c r="E35" s="49">
        <v>2098.66</v>
      </c>
      <c r="F35" s="49">
        <f t="shared" si="2"/>
        <v>256.19450661241098</v>
      </c>
      <c r="G35" s="52">
        <f t="shared" si="3"/>
        <v>3.9032843179298538E-3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15</v>
      </c>
      <c r="P35" s="49">
        <v>31</v>
      </c>
      <c r="Q35" s="49">
        <v>31</v>
      </c>
      <c r="R35" s="49">
        <v>21.3</v>
      </c>
      <c r="S35" s="49">
        <v>0</v>
      </c>
      <c r="T35" s="49">
        <v>0</v>
      </c>
    </row>
    <row r="36" spans="1:20" s="53" customFormat="1" ht="15.75" customHeight="1" x14ac:dyDescent="0.25">
      <c r="A36" s="50">
        <v>1958</v>
      </c>
      <c r="B36" s="50">
        <v>12</v>
      </c>
      <c r="C36" s="51">
        <f t="shared" si="0"/>
        <v>34.274999999999999</v>
      </c>
      <c r="D36" s="51">
        <f t="shared" si="1"/>
        <v>411.3</v>
      </c>
      <c r="E36" s="49">
        <v>2098.66</v>
      </c>
      <c r="F36" s="49">
        <f t="shared" si="2"/>
        <v>61.23005105762217</v>
      </c>
      <c r="G36" s="52">
        <f t="shared" si="3"/>
        <v>1.6331849847045259E-2</v>
      </c>
      <c r="I36" s="49">
        <v>0</v>
      </c>
      <c r="J36" s="49">
        <v>0</v>
      </c>
      <c r="K36" s="49">
        <v>0</v>
      </c>
      <c r="L36" s="49">
        <v>0</v>
      </c>
      <c r="M36" s="49">
        <v>22.7</v>
      </c>
      <c r="N36" s="49">
        <v>73</v>
      </c>
      <c r="O36" s="49">
        <v>76</v>
      </c>
      <c r="P36" s="49">
        <v>76</v>
      </c>
      <c r="Q36" s="49">
        <v>76</v>
      </c>
      <c r="R36" s="49">
        <v>72</v>
      </c>
      <c r="S36" s="49">
        <v>15.6</v>
      </c>
      <c r="T36" s="49">
        <v>0</v>
      </c>
    </row>
    <row r="37" spans="1:20" s="53" customFormat="1" ht="15.75" customHeight="1" x14ac:dyDescent="0.25">
      <c r="A37" s="50">
        <v>1959</v>
      </c>
      <c r="B37" s="50">
        <v>12</v>
      </c>
      <c r="C37" s="51">
        <f t="shared" si="0"/>
        <v>42.266666666666673</v>
      </c>
      <c r="D37" s="51">
        <f t="shared" si="1"/>
        <v>507.20000000000005</v>
      </c>
      <c r="E37" s="49">
        <v>2098.66</v>
      </c>
      <c r="F37" s="49">
        <f t="shared" si="2"/>
        <v>49.652839116719235</v>
      </c>
      <c r="G37" s="52">
        <f t="shared" si="3"/>
        <v>2.0139835259959535E-2</v>
      </c>
      <c r="I37" s="49">
        <v>0</v>
      </c>
      <c r="J37" s="49">
        <v>0</v>
      </c>
      <c r="K37" s="49">
        <v>0</v>
      </c>
      <c r="L37" s="49">
        <v>0</v>
      </c>
      <c r="M37" s="49">
        <v>63.4</v>
      </c>
      <c r="N37" s="49">
        <v>95</v>
      </c>
      <c r="O37" s="49">
        <v>102.7</v>
      </c>
      <c r="P37" s="49">
        <v>105</v>
      </c>
      <c r="Q37" s="49">
        <v>102.5</v>
      </c>
      <c r="R37" s="49">
        <v>38.6</v>
      </c>
      <c r="S37" s="49">
        <v>0</v>
      </c>
      <c r="T37" s="49">
        <v>0</v>
      </c>
    </row>
    <row r="38" spans="1:20" s="53" customFormat="1" ht="15.75" customHeight="1" x14ac:dyDescent="0.25">
      <c r="A38" s="50">
        <v>1960</v>
      </c>
      <c r="B38" s="50">
        <v>12</v>
      </c>
      <c r="C38" s="51">
        <f t="shared" si="0"/>
        <v>41.991666666666667</v>
      </c>
      <c r="D38" s="51">
        <f t="shared" si="1"/>
        <v>503.9</v>
      </c>
      <c r="E38" s="49">
        <v>2098.66</v>
      </c>
      <c r="F38" s="49">
        <f t="shared" si="2"/>
        <v>49.978011510220277</v>
      </c>
      <c r="G38" s="52">
        <f t="shared" si="3"/>
        <v>2.0008799265563107E-2</v>
      </c>
      <c r="I38" s="49">
        <v>0</v>
      </c>
      <c r="J38" s="49">
        <v>0</v>
      </c>
      <c r="K38" s="49">
        <v>9</v>
      </c>
      <c r="L38" s="49">
        <v>97</v>
      </c>
      <c r="M38" s="49">
        <v>96.9</v>
      </c>
      <c r="N38" s="49">
        <v>95.1</v>
      </c>
      <c r="O38" s="49">
        <v>95</v>
      </c>
      <c r="P38" s="49">
        <v>94.9</v>
      </c>
      <c r="Q38" s="49">
        <v>16</v>
      </c>
      <c r="R38" s="49">
        <v>0</v>
      </c>
      <c r="S38" s="49">
        <v>0</v>
      </c>
      <c r="T38" s="49">
        <v>0</v>
      </c>
    </row>
    <row r="39" spans="1:20" s="53" customFormat="1" ht="15.75" customHeight="1" x14ac:dyDescent="0.25">
      <c r="A39" s="50">
        <v>1961</v>
      </c>
      <c r="B39" s="50">
        <v>12</v>
      </c>
      <c r="C39" s="51">
        <f t="shared" si="0"/>
        <v>8.1</v>
      </c>
      <c r="D39" s="51">
        <f t="shared" si="1"/>
        <v>97.2</v>
      </c>
      <c r="E39" s="49">
        <v>2098.66</v>
      </c>
      <c r="F39" s="49">
        <f t="shared" si="2"/>
        <v>259.09382716049384</v>
      </c>
      <c r="G39" s="52">
        <f t="shared" si="3"/>
        <v>3.8596056531310457E-3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29.3</v>
      </c>
      <c r="P39" s="49">
        <v>0</v>
      </c>
      <c r="Q39" s="49">
        <v>28.2</v>
      </c>
      <c r="R39" s="49">
        <v>38.799999999999997</v>
      </c>
      <c r="S39" s="49">
        <v>0.9</v>
      </c>
      <c r="T39" s="49">
        <v>0</v>
      </c>
    </row>
    <row r="40" spans="1:20" s="53" customFormat="1" ht="15.75" customHeight="1" x14ac:dyDescent="0.25">
      <c r="A40" s="50">
        <v>1962</v>
      </c>
      <c r="B40" s="50">
        <v>12</v>
      </c>
      <c r="C40" s="51">
        <f t="shared" si="0"/>
        <v>36.68333333333333</v>
      </c>
      <c r="D40" s="51">
        <f t="shared" si="1"/>
        <v>440.2</v>
      </c>
      <c r="E40" s="49">
        <v>2098.66</v>
      </c>
      <c r="F40" s="49">
        <f t="shared" si="2"/>
        <v>57.21017719218537</v>
      </c>
      <c r="G40" s="52">
        <f t="shared" si="3"/>
        <v>1.7479407494941215E-2</v>
      </c>
      <c r="I40" s="49">
        <v>0</v>
      </c>
      <c r="J40" s="49">
        <v>0</v>
      </c>
      <c r="K40" s="49">
        <v>0</v>
      </c>
      <c r="L40" s="49">
        <v>31.5</v>
      </c>
      <c r="M40" s="49">
        <v>63.8</v>
      </c>
      <c r="N40" s="49">
        <v>64</v>
      </c>
      <c r="O40" s="49">
        <v>64</v>
      </c>
      <c r="P40" s="49">
        <v>64</v>
      </c>
      <c r="Q40" s="49">
        <v>62.6</v>
      </c>
      <c r="R40" s="49">
        <v>59.9</v>
      </c>
      <c r="S40" s="49">
        <v>30.4</v>
      </c>
      <c r="T40" s="49">
        <v>0</v>
      </c>
    </row>
    <row r="41" spans="1:20" s="53" customFormat="1" ht="15.75" customHeight="1" x14ac:dyDescent="0.25">
      <c r="A41" s="50">
        <v>1963</v>
      </c>
      <c r="B41" s="50">
        <v>12</v>
      </c>
      <c r="C41" s="51">
        <f t="shared" si="0"/>
        <v>28.691666666666674</v>
      </c>
      <c r="D41" s="51">
        <f t="shared" si="1"/>
        <v>344.30000000000007</v>
      </c>
      <c r="E41" s="49">
        <v>2098.66</v>
      </c>
      <c r="F41" s="49">
        <f t="shared" si="2"/>
        <v>73.145280278826576</v>
      </c>
      <c r="G41" s="52">
        <f t="shared" si="3"/>
        <v>1.3671422082026949E-2</v>
      </c>
      <c r="I41" s="49">
        <v>0</v>
      </c>
      <c r="J41" s="49">
        <v>0</v>
      </c>
      <c r="K41" s="49">
        <v>0</v>
      </c>
      <c r="L41" s="49">
        <v>23.4</v>
      </c>
      <c r="M41" s="49">
        <v>54</v>
      </c>
      <c r="N41" s="49">
        <v>53.7</v>
      </c>
      <c r="O41" s="49">
        <v>54</v>
      </c>
      <c r="P41" s="49">
        <v>54.8</v>
      </c>
      <c r="Q41" s="49">
        <v>54.5</v>
      </c>
      <c r="R41" s="49">
        <v>48.8</v>
      </c>
      <c r="S41" s="49">
        <v>1.1000000000000001</v>
      </c>
      <c r="T41" s="49">
        <v>0</v>
      </c>
    </row>
    <row r="42" spans="1:20" s="53" customFormat="1" ht="15.75" customHeight="1" x14ac:dyDescent="0.25">
      <c r="A42" s="50">
        <v>1964</v>
      </c>
      <c r="B42" s="50">
        <v>12</v>
      </c>
      <c r="C42" s="51">
        <f t="shared" si="0"/>
        <v>21.841666666666665</v>
      </c>
      <c r="D42" s="51">
        <f t="shared" si="1"/>
        <v>262.09999999999997</v>
      </c>
      <c r="E42" s="49">
        <v>2098.66</v>
      </c>
      <c r="F42" s="49">
        <f t="shared" si="2"/>
        <v>96.085158336512777</v>
      </c>
      <c r="G42" s="52">
        <f t="shared" si="3"/>
        <v>1.0407434585243283E-2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45.9</v>
      </c>
      <c r="O42" s="49">
        <v>53</v>
      </c>
      <c r="P42" s="49">
        <v>53</v>
      </c>
      <c r="Q42" s="49">
        <v>52.3</v>
      </c>
      <c r="R42" s="49">
        <v>49</v>
      </c>
      <c r="S42" s="49">
        <v>8.9</v>
      </c>
      <c r="T42" s="49">
        <v>0</v>
      </c>
    </row>
    <row r="43" spans="1:20" s="53" customFormat="1" ht="15.75" customHeight="1" x14ac:dyDescent="0.25">
      <c r="A43" s="50">
        <v>1965</v>
      </c>
      <c r="B43" s="50">
        <v>12</v>
      </c>
      <c r="C43" s="51">
        <f t="shared" si="0"/>
        <v>15.341666666666667</v>
      </c>
      <c r="D43" s="51">
        <f t="shared" si="1"/>
        <v>184.1</v>
      </c>
      <c r="E43" s="49">
        <v>2098.66</v>
      </c>
      <c r="F43" s="49">
        <f t="shared" si="2"/>
        <v>136.79478544269418</v>
      </c>
      <c r="G43" s="52">
        <f t="shared" si="3"/>
        <v>7.310220172236888E-3</v>
      </c>
      <c r="I43" s="49">
        <v>0</v>
      </c>
      <c r="J43" s="49">
        <v>0</v>
      </c>
      <c r="K43" s="49">
        <v>0</v>
      </c>
      <c r="L43" s="49">
        <v>0</v>
      </c>
      <c r="M43" s="49">
        <v>51.4</v>
      </c>
      <c r="N43" s="49">
        <v>58</v>
      </c>
      <c r="O43" s="49">
        <v>57.5</v>
      </c>
      <c r="P43" s="49">
        <v>17.2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50">
        <v>1966</v>
      </c>
      <c r="B44" s="50">
        <v>12</v>
      </c>
      <c r="C44" s="51">
        <f t="shared" si="0"/>
        <v>11.733333333333333</v>
      </c>
      <c r="D44" s="51">
        <f t="shared" si="1"/>
        <v>140.79999999999998</v>
      </c>
      <c r="E44" s="49">
        <v>2098.66</v>
      </c>
      <c r="F44" s="49">
        <f t="shared" si="2"/>
        <v>178.86306818181819</v>
      </c>
      <c r="G44" s="52">
        <f t="shared" si="3"/>
        <v>5.5908690942474406E-3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35.700000000000003</v>
      </c>
      <c r="P44" s="49">
        <v>35.200000000000003</v>
      </c>
      <c r="Q44" s="49">
        <v>35.799999999999997</v>
      </c>
      <c r="R44" s="49">
        <v>33</v>
      </c>
      <c r="S44" s="49">
        <v>1.1000000000000001</v>
      </c>
      <c r="T44" s="49">
        <v>0</v>
      </c>
    </row>
    <row r="45" spans="1:20" s="53" customFormat="1" ht="15.75" customHeight="1" x14ac:dyDescent="0.25">
      <c r="A45" s="50">
        <v>1967</v>
      </c>
      <c r="B45" s="50">
        <v>12</v>
      </c>
      <c r="C45" s="51">
        <f t="shared" si="0"/>
        <v>12.375</v>
      </c>
      <c r="D45" s="51">
        <f t="shared" si="1"/>
        <v>148.5</v>
      </c>
      <c r="E45" s="49">
        <v>2098.66</v>
      </c>
      <c r="F45" s="49">
        <f t="shared" si="2"/>
        <v>169.58868686868686</v>
      </c>
      <c r="G45" s="52">
        <f t="shared" si="3"/>
        <v>5.8966197478390976E-3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27.2</v>
      </c>
      <c r="P45" s="49">
        <v>41</v>
      </c>
      <c r="Q45" s="49">
        <v>41</v>
      </c>
      <c r="R45" s="49">
        <v>37.700000000000003</v>
      </c>
      <c r="S45" s="49">
        <v>1.6</v>
      </c>
      <c r="T45" s="49">
        <v>0</v>
      </c>
    </row>
    <row r="46" spans="1:20" s="53" customFormat="1" ht="15.75" customHeight="1" x14ac:dyDescent="0.25">
      <c r="A46" s="50">
        <v>1968</v>
      </c>
      <c r="B46" s="50">
        <v>12</v>
      </c>
      <c r="C46" s="51">
        <f t="shared" si="0"/>
        <v>28.724999999999998</v>
      </c>
      <c r="D46" s="51">
        <f t="shared" si="1"/>
        <v>344.7</v>
      </c>
      <c r="E46" s="49">
        <v>2098.66</v>
      </c>
      <c r="F46" s="49">
        <f t="shared" si="2"/>
        <v>73.060400348128809</v>
      </c>
      <c r="G46" s="52">
        <f t="shared" si="3"/>
        <v>1.3687305232862875E-2</v>
      </c>
      <c r="I46" s="49">
        <v>0</v>
      </c>
      <c r="J46" s="49">
        <v>0</v>
      </c>
      <c r="K46" s="49">
        <v>0</v>
      </c>
      <c r="L46" s="49">
        <v>0</v>
      </c>
      <c r="M46" s="49">
        <v>22.7</v>
      </c>
      <c r="N46" s="49">
        <v>64</v>
      </c>
      <c r="O46" s="49">
        <v>64</v>
      </c>
      <c r="P46" s="49">
        <v>64</v>
      </c>
      <c r="Q46" s="49">
        <v>64</v>
      </c>
      <c r="R46" s="49">
        <v>60</v>
      </c>
      <c r="S46" s="49">
        <v>6</v>
      </c>
      <c r="T46" s="49">
        <v>0</v>
      </c>
    </row>
    <row r="47" spans="1:20" s="53" customFormat="1" ht="15.75" customHeight="1" x14ac:dyDescent="0.25">
      <c r="A47" s="50">
        <v>1969</v>
      </c>
      <c r="B47" s="50">
        <v>12</v>
      </c>
      <c r="C47" s="51">
        <f t="shared" si="0"/>
        <v>37.608333333333327</v>
      </c>
      <c r="D47" s="51">
        <f t="shared" si="1"/>
        <v>451.29999999999995</v>
      </c>
      <c r="E47" s="49">
        <v>2098.66</v>
      </c>
      <c r="F47" s="49">
        <f t="shared" si="2"/>
        <v>55.803057832927102</v>
      </c>
      <c r="G47" s="52">
        <f t="shared" si="3"/>
        <v>1.7920164930638277E-2</v>
      </c>
      <c r="I47" s="49">
        <v>0</v>
      </c>
      <c r="J47" s="49">
        <v>0</v>
      </c>
      <c r="K47" s="49">
        <v>0</v>
      </c>
      <c r="L47" s="49">
        <v>20.399999999999999</v>
      </c>
      <c r="M47" s="49">
        <v>69</v>
      </c>
      <c r="N47" s="49">
        <v>69</v>
      </c>
      <c r="O47" s="49">
        <v>69</v>
      </c>
      <c r="P47" s="49">
        <v>69</v>
      </c>
      <c r="Q47" s="49">
        <v>69</v>
      </c>
      <c r="R47" s="49">
        <v>65</v>
      </c>
      <c r="S47" s="49">
        <v>20.9</v>
      </c>
      <c r="T47" s="49">
        <v>0</v>
      </c>
    </row>
    <row r="48" spans="1:20" s="53" customFormat="1" ht="15.75" customHeight="1" x14ac:dyDescent="0.25">
      <c r="A48" s="50">
        <v>1970</v>
      </c>
      <c r="B48" s="50">
        <v>12</v>
      </c>
      <c r="C48" s="51">
        <f t="shared" si="0"/>
        <v>42.274999999999999</v>
      </c>
      <c r="D48" s="51">
        <f t="shared" si="1"/>
        <v>507.3</v>
      </c>
      <c r="E48" s="49">
        <v>2098.66</v>
      </c>
      <c r="F48" s="49">
        <f t="shared" si="2"/>
        <v>49.643051448846833</v>
      </c>
      <c r="G48" s="52">
        <f t="shared" si="3"/>
        <v>2.0143806047668512E-2</v>
      </c>
      <c r="I48" s="49">
        <v>0</v>
      </c>
      <c r="J48" s="49">
        <v>0</v>
      </c>
      <c r="K48" s="49">
        <v>0</v>
      </c>
      <c r="L48" s="49">
        <v>52.2</v>
      </c>
      <c r="M48" s="49">
        <v>85.7</v>
      </c>
      <c r="N48" s="49">
        <v>80</v>
      </c>
      <c r="O48" s="49">
        <v>79.599999999999994</v>
      </c>
      <c r="P48" s="49">
        <v>84.6</v>
      </c>
      <c r="Q48" s="49">
        <v>85</v>
      </c>
      <c r="R48" s="49">
        <v>40.200000000000003</v>
      </c>
      <c r="S48" s="49">
        <v>0</v>
      </c>
      <c r="T48" s="49">
        <v>0</v>
      </c>
    </row>
    <row r="49" spans="1:22" s="53" customFormat="1" ht="15.75" customHeight="1" x14ac:dyDescent="0.25">
      <c r="A49" s="50">
        <v>1971</v>
      </c>
      <c r="B49" s="50">
        <v>12</v>
      </c>
      <c r="C49" s="51">
        <f t="shared" si="0"/>
        <v>36.633333333333333</v>
      </c>
      <c r="D49" s="51">
        <f t="shared" si="1"/>
        <v>439.59999999999997</v>
      </c>
      <c r="E49" s="49">
        <v>2098.66</v>
      </c>
      <c r="F49" s="49">
        <f t="shared" si="2"/>
        <v>57.288262056414922</v>
      </c>
      <c r="G49" s="52">
        <f t="shared" si="3"/>
        <v>1.7455582768687323E-2</v>
      </c>
      <c r="I49" s="49">
        <v>0</v>
      </c>
      <c r="J49" s="49">
        <v>0</v>
      </c>
      <c r="K49" s="49">
        <v>0</v>
      </c>
      <c r="L49" s="49">
        <v>0</v>
      </c>
      <c r="M49" s="49">
        <v>69.7</v>
      </c>
      <c r="N49" s="49">
        <v>79</v>
      </c>
      <c r="O49" s="49">
        <v>80</v>
      </c>
      <c r="P49" s="49">
        <v>80</v>
      </c>
      <c r="Q49" s="49">
        <v>80</v>
      </c>
      <c r="R49" s="49">
        <v>50.9</v>
      </c>
      <c r="S49" s="49">
        <v>0</v>
      </c>
      <c r="T49" s="49">
        <v>0</v>
      </c>
    </row>
    <row r="50" spans="1:22" s="53" customFormat="1" ht="15.75" customHeight="1" x14ac:dyDescent="0.25">
      <c r="A50" s="50">
        <v>1972</v>
      </c>
      <c r="B50" s="50">
        <v>12</v>
      </c>
      <c r="C50" s="51">
        <f t="shared" si="0"/>
        <v>34.824999999999996</v>
      </c>
      <c r="D50" s="51">
        <f t="shared" si="1"/>
        <v>417.9</v>
      </c>
      <c r="E50" s="49">
        <v>2098.66</v>
      </c>
      <c r="F50" s="49">
        <f t="shared" si="2"/>
        <v>60.263029432878682</v>
      </c>
      <c r="G50" s="52">
        <f t="shared" si="3"/>
        <v>1.6593921835838105E-2</v>
      </c>
      <c r="I50" s="49">
        <v>0</v>
      </c>
      <c r="J50" s="49">
        <v>0</v>
      </c>
      <c r="K50" s="49">
        <v>0</v>
      </c>
      <c r="L50" s="49">
        <v>0</v>
      </c>
      <c r="M50" s="49">
        <v>55</v>
      </c>
      <c r="N50" s="49">
        <v>76</v>
      </c>
      <c r="O50" s="49">
        <v>76</v>
      </c>
      <c r="P50" s="49">
        <v>76</v>
      </c>
      <c r="Q50" s="49">
        <v>76</v>
      </c>
      <c r="R50" s="49">
        <v>58.9</v>
      </c>
      <c r="S50" s="49">
        <v>0</v>
      </c>
      <c r="T50" s="49">
        <v>0</v>
      </c>
    </row>
    <row r="51" spans="1:22" s="53" customFormat="1" ht="15.75" customHeight="1" x14ac:dyDescent="0.25">
      <c r="A51" s="50">
        <v>1973</v>
      </c>
      <c r="B51" s="50">
        <v>12</v>
      </c>
      <c r="C51" s="51">
        <f t="shared" si="0"/>
        <v>7.4333333333333336</v>
      </c>
      <c r="D51" s="51">
        <f t="shared" si="1"/>
        <v>89.2</v>
      </c>
      <c r="E51" s="49">
        <v>2098.66</v>
      </c>
      <c r="F51" s="49">
        <f t="shared" si="2"/>
        <v>282.33094170403587</v>
      </c>
      <c r="G51" s="52">
        <f t="shared" si="3"/>
        <v>3.5419426364124412E-3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89.2</v>
      </c>
    </row>
    <row r="52" spans="1:22" s="53" customFormat="1" ht="15.75" customHeight="1" x14ac:dyDescent="0.25">
      <c r="A52" s="50">
        <v>1974</v>
      </c>
      <c r="B52" s="50">
        <v>12</v>
      </c>
      <c r="C52" s="51">
        <f t="shared" si="0"/>
        <v>18.408333333333331</v>
      </c>
      <c r="D52" s="51">
        <f t="shared" si="1"/>
        <v>220.89999999999998</v>
      </c>
      <c r="E52" s="49">
        <v>2098.66</v>
      </c>
      <c r="F52" s="49">
        <f t="shared" si="2"/>
        <v>114.00597555454958</v>
      </c>
      <c r="G52" s="52">
        <f t="shared" si="3"/>
        <v>8.7714700491424678E-3</v>
      </c>
      <c r="I52" s="49">
        <v>91</v>
      </c>
      <c r="J52" s="49">
        <v>91.7</v>
      </c>
      <c r="K52" s="49">
        <v>38.200000000000003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2" s="53" customFormat="1" ht="15.75" customHeight="1" x14ac:dyDescent="0.25">
      <c r="A53" s="50">
        <v>1975</v>
      </c>
      <c r="B53" s="50">
        <v>12</v>
      </c>
      <c r="C53" s="51">
        <f t="shared" si="0"/>
        <v>58.658333333333331</v>
      </c>
      <c r="D53" s="51">
        <f t="shared" si="1"/>
        <v>703.9</v>
      </c>
      <c r="E53" s="49">
        <v>2098.66</v>
      </c>
      <c r="F53" s="49">
        <f t="shared" si="2"/>
        <v>35.777695695411282</v>
      </c>
      <c r="G53" s="52">
        <f t="shared" si="3"/>
        <v>2.795037468352822E-2</v>
      </c>
      <c r="I53" s="49">
        <v>0</v>
      </c>
      <c r="J53" s="49">
        <v>0</v>
      </c>
      <c r="K53" s="49">
        <v>59</v>
      </c>
      <c r="L53" s="49">
        <v>94</v>
      </c>
      <c r="M53" s="49">
        <v>94</v>
      </c>
      <c r="N53" s="49">
        <v>94.2</v>
      </c>
      <c r="O53" s="49">
        <v>93.6</v>
      </c>
      <c r="P53" s="49">
        <v>93</v>
      </c>
      <c r="Q53" s="49">
        <v>93</v>
      </c>
      <c r="R53" s="49">
        <v>83.1</v>
      </c>
      <c r="S53" s="49">
        <v>0</v>
      </c>
      <c r="T53" s="49">
        <v>0</v>
      </c>
    </row>
    <row r="54" spans="1:22" s="53" customFormat="1" ht="15.75" customHeight="1" x14ac:dyDescent="0.25">
      <c r="A54" s="50">
        <v>1976</v>
      </c>
      <c r="B54" s="50">
        <v>12</v>
      </c>
      <c r="C54" s="51">
        <f t="shared" si="0"/>
        <v>15</v>
      </c>
      <c r="D54" s="51">
        <f t="shared" si="1"/>
        <v>180</v>
      </c>
      <c r="E54" s="49">
        <v>2098.66</v>
      </c>
      <c r="F54" s="49">
        <f t="shared" si="2"/>
        <v>139.91066666666666</v>
      </c>
      <c r="G54" s="52">
        <f t="shared" si="3"/>
        <v>7.1474178761686035E-3</v>
      </c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90</v>
      </c>
      <c r="T54" s="49">
        <v>90</v>
      </c>
    </row>
    <row r="55" spans="1:22" s="53" customFormat="1" ht="15.75" customHeight="1" x14ac:dyDescent="0.25">
      <c r="A55" s="50">
        <v>1977</v>
      </c>
      <c r="B55" s="50">
        <v>12</v>
      </c>
      <c r="C55" s="51">
        <f t="shared" si="0"/>
        <v>15</v>
      </c>
      <c r="D55" s="51">
        <f t="shared" si="1"/>
        <v>180</v>
      </c>
      <c r="E55" s="49">
        <v>2098.66</v>
      </c>
      <c r="F55" s="49">
        <f t="shared" si="2"/>
        <v>139.91066666666666</v>
      </c>
      <c r="G55" s="52">
        <f t="shared" si="3"/>
        <v>7.1474178761686035E-3</v>
      </c>
      <c r="I55" s="49">
        <v>90</v>
      </c>
      <c r="J55" s="49">
        <v>90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2" s="53" customFormat="1" ht="15.75" customHeight="1" x14ac:dyDescent="0.25">
      <c r="A56" s="50">
        <v>1978</v>
      </c>
      <c r="B56" s="50">
        <v>12</v>
      </c>
      <c r="C56" s="51">
        <f t="shared" si="0"/>
        <v>65</v>
      </c>
      <c r="D56" s="51">
        <f t="shared" si="1"/>
        <v>780</v>
      </c>
      <c r="E56" s="49">
        <v>2098.66</v>
      </c>
      <c r="F56" s="49">
        <f t="shared" si="2"/>
        <v>32.287076923076924</v>
      </c>
      <c r="G56" s="52">
        <f t="shared" si="3"/>
        <v>3.0972144130063949E-2</v>
      </c>
      <c r="I56" s="49">
        <v>0</v>
      </c>
      <c r="J56" s="49">
        <v>0</v>
      </c>
      <c r="K56" s="49">
        <v>97.5</v>
      </c>
      <c r="L56" s="49">
        <v>97.5</v>
      </c>
      <c r="M56" s="49">
        <v>97.5</v>
      </c>
      <c r="N56" s="49">
        <v>97.5</v>
      </c>
      <c r="O56" s="49">
        <v>97.5</v>
      </c>
      <c r="P56" s="49">
        <v>97.5</v>
      </c>
      <c r="Q56" s="49">
        <v>97.5</v>
      </c>
      <c r="R56" s="49">
        <v>97.5</v>
      </c>
      <c r="S56" s="49">
        <v>0</v>
      </c>
      <c r="T56" s="49">
        <v>0</v>
      </c>
    </row>
    <row r="57" spans="1:22" s="53" customFormat="1" ht="15.75" customHeight="1" x14ac:dyDescent="0.25">
      <c r="A57" s="50">
        <v>1979</v>
      </c>
      <c r="B57" s="50">
        <v>12</v>
      </c>
      <c r="C57" s="51">
        <f t="shared" si="0"/>
        <v>15</v>
      </c>
      <c r="D57" s="51">
        <f t="shared" si="1"/>
        <v>180</v>
      </c>
      <c r="E57" s="49">
        <v>2098.66</v>
      </c>
      <c r="F57" s="49">
        <f t="shared" si="2"/>
        <v>139.91066666666666</v>
      </c>
      <c r="G57" s="52">
        <f t="shared" si="3"/>
        <v>7.1474178761686035E-3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90</v>
      </c>
      <c r="T57" s="49">
        <v>90</v>
      </c>
    </row>
    <row r="58" spans="1:22" s="53" customFormat="1" ht="15.75" customHeight="1" x14ac:dyDescent="0.25">
      <c r="A58" s="50">
        <v>1980</v>
      </c>
      <c r="B58" s="50">
        <v>12</v>
      </c>
      <c r="C58" s="51">
        <f t="shared" si="0"/>
        <v>15</v>
      </c>
      <c r="D58" s="51">
        <f t="shared" si="1"/>
        <v>180</v>
      </c>
      <c r="E58" s="49">
        <v>2098.66</v>
      </c>
      <c r="F58" s="49">
        <f t="shared" si="2"/>
        <v>139.91066666666666</v>
      </c>
      <c r="G58" s="52">
        <f t="shared" si="3"/>
        <v>7.1474178761686035E-3</v>
      </c>
      <c r="I58" s="49">
        <v>90</v>
      </c>
      <c r="J58" s="49">
        <v>90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2" s="53" customFormat="1" ht="15.75" customHeight="1" x14ac:dyDescent="0.25">
      <c r="A59" s="50">
        <v>1981</v>
      </c>
      <c r="B59" s="50">
        <v>12</v>
      </c>
      <c r="C59" s="51">
        <f t="shared" si="0"/>
        <v>65</v>
      </c>
      <c r="D59" s="51">
        <f t="shared" si="1"/>
        <v>780</v>
      </c>
      <c r="E59" s="49">
        <v>2098.66</v>
      </c>
      <c r="F59" s="49">
        <f t="shared" si="2"/>
        <v>32.287076923076924</v>
      </c>
      <c r="G59" s="52">
        <f t="shared" si="3"/>
        <v>3.0972144130063949E-2</v>
      </c>
      <c r="I59" s="49">
        <v>0</v>
      </c>
      <c r="J59" s="49">
        <v>0</v>
      </c>
      <c r="K59" s="49">
        <v>97.5</v>
      </c>
      <c r="L59" s="49">
        <v>97.5</v>
      </c>
      <c r="M59" s="49">
        <v>97.5</v>
      </c>
      <c r="N59" s="49">
        <v>97.5</v>
      </c>
      <c r="O59" s="49">
        <v>97.5</v>
      </c>
      <c r="P59" s="49">
        <v>97.5</v>
      </c>
      <c r="Q59" s="49">
        <v>97.5</v>
      </c>
      <c r="R59" s="49">
        <v>97.5</v>
      </c>
      <c r="S59" s="49">
        <v>0</v>
      </c>
      <c r="T59" s="49">
        <v>0</v>
      </c>
    </row>
    <row r="60" spans="1:22" s="53" customFormat="1" ht="15.75" customHeight="1" x14ac:dyDescent="0.25">
      <c r="A60" s="50">
        <v>1982</v>
      </c>
      <c r="B60" s="50">
        <v>12</v>
      </c>
      <c r="C60" s="51">
        <f t="shared" si="0"/>
        <v>8.3333333333333339</v>
      </c>
      <c r="D60" s="51">
        <f t="shared" si="1"/>
        <v>100</v>
      </c>
      <c r="E60" s="49">
        <v>2098.66</v>
      </c>
      <c r="F60" s="49">
        <f t="shared" si="2"/>
        <v>251.83919999999998</v>
      </c>
      <c r="G60" s="52">
        <f t="shared" si="3"/>
        <v>3.9707877089825575E-3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50</v>
      </c>
      <c r="T60" s="49">
        <v>50</v>
      </c>
    </row>
    <row r="61" spans="1:22" s="53" customFormat="1" ht="15.75" customHeight="1" x14ac:dyDescent="0.25">
      <c r="A61" s="50">
        <v>1983</v>
      </c>
      <c r="B61" s="50">
        <v>12</v>
      </c>
      <c r="C61" s="51">
        <f t="shared" si="0"/>
        <v>8.3333333333333339</v>
      </c>
      <c r="D61" s="51">
        <f t="shared" si="1"/>
        <v>100</v>
      </c>
      <c r="E61" s="49">
        <v>2098.66</v>
      </c>
      <c r="F61" s="49">
        <f t="shared" si="2"/>
        <v>251.83919999999998</v>
      </c>
      <c r="G61" s="52">
        <f t="shared" si="3"/>
        <v>3.9707877089825575E-3</v>
      </c>
      <c r="I61" s="49">
        <v>50</v>
      </c>
      <c r="J61" s="49">
        <v>50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2" s="53" customFormat="1" ht="15.75" customHeight="1" x14ac:dyDescent="0.25">
      <c r="A62" s="50">
        <v>1984</v>
      </c>
      <c r="B62" s="50">
        <v>12</v>
      </c>
      <c r="C62" s="51">
        <f t="shared" si="0"/>
        <v>37.333333333333336</v>
      </c>
      <c r="D62" s="51">
        <f t="shared" si="1"/>
        <v>448</v>
      </c>
      <c r="E62" s="49">
        <v>2098.66</v>
      </c>
      <c r="F62" s="49">
        <f t="shared" si="2"/>
        <v>56.214107142857138</v>
      </c>
      <c r="G62" s="52">
        <f t="shared" si="3"/>
        <v>1.778912893624186E-2</v>
      </c>
      <c r="I62" s="49">
        <v>0</v>
      </c>
      <c r="J62" s="49">
        <v>0</v>
      </c>
      <c r="K62" s="49">
        <v>56</v>
      </c>
      <c r="L62" s="49">
        <v>56</v>
      </c>
      <c r="M62" s="49">
        <v>56</v>
      </c>
      <c r="N62" s="49">
        <v>56</v>
      </c>
      <c r="O62" s="49">
        <v>56</v>
      </c>
      <c r="P62" s="49">
        <v>56</v>
      </c>
      <c r="Q62" s="49">
        <v>56</v>
      </c>
      <c r="R62" s="49">
        <v>56</v>
      </c>
      <c r="S62" s="49">
        <v>0</v>
      </c>
      <c r="T62" s="49">
        <v>0</v>
      </c>
    </row>
    <row r="63" spans="1:22" s="53" customFormat="1" ht="15.75" customHeight="1" x14ac:dyDescent="0.25">
      <c r="A63" s="50">
        <v>1985</v>
      </c>
      <c r="B63" s="50">
        <v>12</v>
      </c>
      <c r="C63" s="51">
        <f t="shared" si="0"/>
        <v>12.5</v>
      </c>
      <c r="D63" s="51">
        <f t="shared" si="1"/>
        <v>150</v>
      </c>
      <c r="E63" s="49">
        <v>2098.66</v>
      </c>
      <c r="F63" s="49">
        <f t="shared" si="2"/>
        <v>167.89279999999999</v>
      </c>
      <c r="G63" s="52">
        <f t="shared" si="3"/>
        <v>5.9561815634738358E-3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75</v>
      </c>
      <c r="T63" s="49">
        <v>75</v>
      </c>
    </row>
    <row r="64" spans="1:22" s="53" customFormat="1" ht="15.75" customHeight="1" x14ac:dyDescent="0.25">
      <c r="A64" s="50">
        <v>1986</v>
      </c>
      <c r="B64" s="50">
        <v>12</v>
      </c>
      <c r="C64" s="51">
        <f t="shared" si="0"/>
        <v>24.5</v>
      </c>
      <c r="D64" s="51">
        <f t="shared" si="1"/>
        <v>294</v>
      </c>
      <c r="E64" s="49">
        <v>2098.66</v>
      </c>
      <c r="F64" s="49">
        <f t="shared" si="2"/>
        <v>85.659591836734691</v>
      </c>
      <c r="G64" s="52">
        <f t="shared" si="3"/>
        <v>1.1674115864408719E-2</v>
      </c>
      <c r="I64" s="49">
        <v>75</v>
      </c>
      <c r="J64" s="49">
        <v>75</v>
      </c>
      <c r="K64" s="49">
        <v>18</v>
      </c>
      <c r="L64" s="49">
        <v>18</v>
      </c>
      <c r="M64" s="49">
        <v>18</v>
      </c>
      <c r="N64" s="49">
        <v>18</v>
      </c>
      <c r="O64" s="49">
        <v>18</v>
      </c>
      <c r="P64" s="49">
        <v>18</v>
      </c>
      <c r="Q64" s="49">
        <v>18</v>
      </c>
      <c r="R64" s="49">
        <v>18</v>
      </c>
      <c r="S64" s="49">
        <v>0</v>
      </c>
      <c r="T64" s="49">
        <v>0</v>
      </c>
      <c r="V64" s="48"/>
    </row>
    <row r="65" spans="1:22" s="53" customFormat="1" ht="15.75" customHeight="1" x14ac:dyDescent="0.25">
      <c r="A65" s="50">
        <v>1987</v>
      </c>
      <c r="B65" s="50">
        <v>12</v>
      </c>
      <c r="C65" s="51">
        <f t="shared" si="0"/>
        <v>0</v>
      </c>
      <c r="D65" s="51">
        <f t="shared" si="1"/>
        <v>0</v>
      </c>
      <c r="E65" s="49">
        <v>1664.81</v>
      </c>
      <c r="F65" s="49" t="e">
        <f t="shared" si="2"/>
        <v>#DIV/0!</v>
      </c>
      <c r="G65" s="52">
        <f t="shared" si="3"/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V65" s="48"/>
    </row>
    <row r="66" spans="1:22" s="53" customFormat="1" ht="15.75" customHeight="1" x14ac:dyDescent="0.25">
      <c r="A66" s="50">
        <v>1988</v>
      </c>
      <c r="B66" s="50">
        <v>12</v>
      </c>
      <c r="C66" s="51">
        <f t="shared" si="0"/>
        <v>3.75</v>
      </c>
      <c r="D66" s="51">
        <f t="shared" si="1"/>
        <v>45</v>
      </c>
      <c r="E66" s="49">
        <v>1664.81</v>
      </c>
      <c r="F66" s="49">
        <f t="shared" si="2"/>
        <v>443.9493333333333</v>
      </c>
      <c r="G66" s="52">
        <f t="shared" si="3"/>
        <v>2.2525092953550258E-3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22.5</v>
      </c>
      <c r="T66" s="49">
        <v>22.5</v>
      </c>
    </row>
    <row r="67" spans="1:22" s="53" customFormat="1" ht="15.75" customHeight="1" x14ac:dyDescent="0.25">
      <c r="A67" s="50">
        <v>1989</v>
      </c>
      <c r="B67" s="50">
        <v>12</v>
      </c>
      <c r="C67" s="51">
        <f t="shared" si="0"/>
        <v>27.5</v>
      </c>
      <c r="D67" s="51">
        <f t="shared" si="1"/>
        <v>330</v>
      </c>
      <c r="E67" s="49">
        <v>1664.81</v>
      </c>
      <c r="F67" s="49">
        <f t="shared" si="2"/>
        <v>60.538545454545449</v>
      </c>
      <c r="G67" s="52">
        <f t="shared" si="3"/>
        <v>1.6518401499270186E-2</v>
      </c>
      <c r="I67" s="49">
        <v>22.5</v>
      </c>
      <c r="J67" s="49">
        <v>22.5</v>
      </c>
      <c r="K67" s="49">
        <v>30</v>
      </c>
      <c r="L67" s="49">
        <v>30</v>
      </c>
      <c r="M67" s="49">
        <v>30</v>
      </c>
      <c r="N67" s="49">
        <v>30</v>
      </c>
      <c r="O67" s="49">
        <v>30</v>
      </c>
      <c r="P67" s="49">
        <v>30</v>
      </c>
      <c r="Q67" s="49">
        <v>30</v>
      </c>
      <c r="R67" s="49">
        <v>30</v>
      </c>
      <c r="S67" s="49">
        <v>22.5</v>
      </c>
      <c r="T67" s="49">
        <v>22.5</v>
      </c>
    </row>
    <row r="68" spans="1:22" s="53" customFormat="1" ht="15.75" customHeight="1" x14ac:dyDescent="0.25">
      <c r="A68" s="50">
        <v>1990</v>
      </c>
      <c r="B68" s="50">
        <v>12</v>
      </c>
      <c r="C68" s="51">
        <f t="shared" ref="C68:C92" si="4">D68/B68</f>
        <v>7.5</v>
      </c>
      <c r="D68" s="51">
        <f t="shared" ref="D68:D92" si="5">SUM(I68:T68)</f>
        <v>90</v>
      </c>
      <c r="E68" s="49">
        <v>1664.81</v>
      </c>
      <c r="F68" s="49">
        <f t="shared" ref="F68:F92" si="6">E68/C68</f>
        <v>221.97466666666665</v>
      </c>
      <c r="G68" s="52">
        <f t="shared" ref="G68:G92" si="7">C68/E68</f>
        <v>4.5050185907100516E-3</v>
      </c>
      <c r="I68" s="49">
        <v>22.5</v>
      </c>
      <c r="J68" s="49">
        <v>22.5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22.5</v>
      </c>
      <c r="T68" s="49">
        <v>22.5</v>
      </c>
    </row>
    <row r="69" spans="1:22" s="53" customFormat="1" ht="15.75" customHeight="1" x14ac:dyDescent="0.25">
      <c r="A69" s="50">
        <v>1991</v>
      </c>
      <c r="B69" s="50">
        <v>12</v>
      </c>
      <c r="C69" s="51">
        <f t="shared" si="4"/>
        <v>10</v>
      </c>
      <c r="D69" s="51">
        <f t="shared" si="5"/>
        <v>120</v>
      </c>
      <c r="E69" s="49">
        <v>1664.81</v>
      </c>
      <c r="F69" s="49">
        <f t="shared" si="6"/>
        <v>166.48099999999999</v>
      </c>
      <c r="G69" s="52">
        <f t="shared" si="7"/>
        <v>6.0066914542800682E-3</v>
      </c>
      <c r="I69" s="49">
        <v>22.5</v>
      </c>
      <c r="J69" s="49">
        <v>22.5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37.5</v>
      </c>
      <c r="T69" s="49">
        <v>37.5</v>
      </c>
    </row>
    <row r="70" spans="1:22" s="53" customFormat="1" ht="15.75" customHeight="1" x14ac:dyDescent="0.25">
      <c r="A70" s="50">
        <v>1992</v>
      </c>
      <c r="B70" s="50">
        <v>12</v>
      </c>
      <c r="C70" s="51">
        <f t="shared" si="4"/>
        <v>11.5</v>
      </c>
      <c r="D70" s="51">
        <f t="shared" si="5"/>
        <v>138</v>
      </c>
      <c r="E70" s="49">
        <v>1664.81</v>
      </c>
      <c r="F70" s="49">
        <f t="shared" si="6"/>
        <v>144.76608695652175</v>
      </c>
      <c r="G70" s="52">
        <f t="shared" si="7"/>
        <v>6.9076951724220785E-3</v>
      </c>
      <c r="I70" s="49">
        <v>37.5</v>
      </c>
      <c r="J70" s="49">
        <v>37.5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31.5</v>
      </c>
      <c r="T70" s="49">
        <v>31.5</v>
      </c>
    </row>
    <row r="71" spans="1:22" s="53" customFormat="1" ht="15.75" customHeight="1" x14ac:dyDescent="0.25">
      <c r="A71" s="50">
        <v>1993</v>
      </c>
      <c r="B71" s="50">
        <v>12</v>
      </c>
      <c r="C71" s="51">
        <f t="shared" si="4"/>
        <v>12.5</v>
      </c>
      <c r="D71" s="51">
        <f t="shared" si="5"/>
        <v>150</v>
      </c>
      <c r="E71" s="49">
        <v>1664.81</v>
      </c>
      <c r="F71" s="49">
        <f t="shared" si="6"/>
        <v>133.1848</v>
      </c>
      <c r="G71" s="52">
        <f t="shared" si="7"/>
        <v>7.5083643178500857E-3</v>
      </c>
      <c r="I71" s="49">
        <v>31.5</v>
      </c>
      <c r="J71" s="49">
        <v>31.5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43.5</v>
      </c>
      <c r="T71" s="49">
        <v>43.5</v>
      </c>
    </row>
    <row r="72" spans="1:22" s="53" customFormat="1" ht="15.75" customHeight="1" x14ac:dyDescent="0.25">
      <c r="A72" s="50">
        <v>1994</v>
      </c>
      <c r="B72" s="50">
        <v>12</v>
      </c>
      <c r="C72" s="51">
        <f t="shared" si="4"/>
        <v>26.75</v>
      </c>
      <c r="D72" s="51">
        <f t="shared" si="5"/>
        <v>321</v>
      </c>
      <c r="E72" s="49">
        <v>1664.81</v>
      </c>
      <c r="F72" s="49">
        <f t="shared" si="6"/>
        <v>62.235887850467286</v>
      </c>
      <c r="G72" s="52">
        <f t="shared" si="7"/>
        <v>1.6067899640199182E-2</v>
      </c>
      <c r="I72" s="49">
        <v>43.5</v>
      </c>
      <c r="J72" s="49">
        <v>43.5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51</v>
      </c>
      <c r="T72" s="49">
        <v>51</v>
      </c>
    </row>
    <row r="73" spans="1:22" s="53" customFormat="1" ht="15.75" customHeight="1" x14ac:dyDescent="0.25">
      <c r="A73" s="50">
        <v>1995</v>
      </c>
      <c r="B73" s="50">
        <v>12</v>
      </c>
      <c r="C73" s="51">
        <f t="shared" si="4"/>
        <v>32.25</v>
      </c>
      <c r="D73" s="51">
        <f t="shared" si="5"/>
        <v>387</v>
      </c>
      <c r="E73" s="49">
        <v>1664.81</v>
      </c>
      <c r="F73" s="49">
        <f t="shared" si="6"/>
        <v>51.622015503875964</v>
      </c>
      <c r="G73" s="52">
        <f t="shared" si="7"/>
        <v>1.9371579940053219E-2</v>
      </c>
      <c r="I73" s="49">
        <v>51</v>
      </c>
      <c r="J73" s="49">
        <v>51</v>
      </c>
      <c r="K73" s="49">
        <v>22.5</v>
      </c>
      <c r="L73" s="49">
        <v>22.5</v>
      </c>
      <c r="M73" s="49">
        <v>22.5</v>
      </c>
      <c r="N73" s="49">
        <v>22.5</v>
      </c>
      <c r="O73" s="49">
        <v>22.5</v>
      </c>
      <c r="P73" s="49">
        <v>22.5</v>
      </c>
      <c r="Q73" s="49">
        <v>22.5</v>
      </c>
      <c r="R73" s="49">
        <v>22.5</v>
      </c>
      <c r="S73" s="49">
        <v>52.5</v>
      </c>
      <c r="T73" s="49">
        <v>52.5</v>
      </c>
    </row>
    <row r="74" spans="1:22" s="53" customFormat="1" ht="15.75" customHeight="1" x14ac:dyDescent="0.25">
      <c r="A74" s="50">
        <v>1996</v>
      </c>
      <c r="B74" s="50">
        <v>12</v>
      </c>
      <c r="C74" s="51">
        <f t="shared" si="4"/>
        <v>24.75</v>
      </c>
      <c r="D74" s="51">
        <f t="shared" si="5"/>
        <v>297</v>
      </c>
      <c r="E74" s="49">
        <v>1664.81</v>
      </c>
      <c r="F74" s="49">
        <f t="shared" si="6"/>
        <v>67.265050505050496</v>
      </c>
      <c r="G74" s="52">
        <f t="shared" si="7"/>
        <v>1.4866561349343169E-2</v>
      </c>
      <c r="I74" s="49">
        <v>52.5</v>
      </c>
      <c r="J74" s="49">
        <v>52.5</v>
      </c>
      <c r="K74" s="49">
        <v>24</v>
      </c>
      <c r="L74" s="49">
        <v>24</v>
      </c>
      <c r="M74" s="49">
        <v>24</v>
      </c>
      <c r="N74" s="49">
        <v>24</v>
      </c>
      <c r="O74" s="49">
        <v>24</v>
      </c>
      <c r="P74" s="49">
        <v>24</v>
      </c>
      <c r="Q74" s="49">
        <v>24</v>
      </c>
      <c r="R74" s="49">
        <v>24</v>
      </c>
      <c r="S74" s="49">
        <v>0</v>
      </c>
      <c r="T74" s="49">
        <v>0</v>
      </c>
    </row>
    <row r="75" spans="1:22" s="53" customFormat="1" ht="15.75" customHeight="1" x14ac:dyDescent="0.25">
      <c r="A75" s="50">
        <v>1997</v>
      </c>
      <c r="B75" s="50">
        <v>12</v>
      </c>
      <c r="C75" s="51">
        <f t="shared" si="4"/>
        <v>0</v>
      </c>
      <c r="D75" s="51">
        <f t="shared" si="5"/>
        <v>0</v>
      </c>
      <c r="E75" s="49">
        <v>1664.81</v>
      </c>
      <c r="F75" s="49" t="e">
        <f t="shared" si="6"/>
        <v>#DIV/0!</v>
      </c>
      <c r="G75" s="52">
        <f t="shared" si="7"/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2" s="53" customFormat="1" ht="15.75" customHeight="1" x14ac:dyDescent="0.25">
      <c r="A76" s="50">
        <v>1998</v>
      </c>
      <c r="B76" s="50">
        <v>12</v>
      </c>
      <c r="C76" s="51">
        <f t="shared" si="4"/>
        <v>0</v>
      </c>
      <c r="D76" s="51">
        <f t="shared" si="5"/>
        <v>0</v>
      </c>
      <c r="E76" s="49">
        <v>1664.81</v>
      </c>
      <c r="F76" s="49" t="e">
        <f t="shared" si="6"/>
        <v>#DIV/0!</v>
      </c>
      <c r="G76" s="52">
        <f t="shared" si="7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2" s="53" customFormat="1" ht="15.75" customHeight="1" x14ac:dyDescent="0.25">
      <c r="A77" s="50">
        <v>1999</v>
      </c>
      <c r="B77" s="50">
        <v>12</v>
      </c>
      <c r="C77" s="51">
        <f t="shared" si="4"/>
        <v>2.75</v>
      </c>
      <c r="D77" s="51">
        <f t="shared" si="5"/>
        <v>33</v>
      </c>
      <c r="E77" s="49">
        <v>1664.81</v>
      </c>
      <c r="F77" s="49">
        <f t="shared" si="6"/>
        <v>605.38545454545454</v>
      </c>
      <c r="G77" s="52">
        <f t="shared" si="7"/>
        <v>1.6518401499270188E-3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16.5</v>
      </c>
      <c r="T77" s="49">
        <v>16.5</v>
      </c>
    </row>
    <row r="78" spans="1:22" s="53" customFormat="1" ht="15.75" customHeight="1" x14ac:dyDescent="0.25">
      <c r="A78" s="50">
        <v>2000</v>
      </c>
      <c r="B78" s="50">
        <v>12</v>
      </c>
      <c r="C78" s="51">
        <f t="shared" si="4"/>
        <v>9</v>
      </c>
      <c r="D78" s="51">
        <f t="shared" si="5"/>
        <v>108</v>
      </c>
      <c r="E78" s="49">
        <v>1664.81</v>
      </c>
      <c r="F78" s="49">
        <f t="shared" si="6"/>
        <v>184.97888888888889</v>
      </c>
      <c r="G78" s="52">
        <f t="shared" si="7"/>
        <v>5.406022308852061E-3</v>
      </c>
      <c r="I78" s="49">
        <v>16.5</v>
      </c>
      <c r="J78" s="49">
        <v>16.5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37.5</v>
      </c>
      <c r="T78" s="49">
        <v>37.5</v>
      </c>
    </row>
    <row r="79" spans="1:22" s="53" customFormat="1" ht="15.75" customHeight="1" x14ac:dyDescent="0.25">
      <c r="A79" s="50">
        <v>2001</v>
      </c>
      <c r="B79" s="50">
        <v>12</v>
      </c>
      <c r="C79" s="51">
        <f t="shared" si="4"/>
        <v>34.25</v>
      </c>
      <c r="D79" s="51">
        <f t="shared" si="5"/>
        <v>411</v>
      </c>
      <c r="E79" s="49">
        <v>1664.81</v>
      </c>
      <c r="F79" s="49">
        <f t="shared" si="6"/>
        <v>48.607591240875912</v>
      </c>
      <c r="G79" s="52">
        <f t="shared" si="7"/>
        <v>2.0572918230909235E-2</v>
      </c>
      <c r="I79" s="49">
        <v>37.5</v>
      </c>
      <c r="J79" s="49">
        <v>37.5</v>
      </c>
      <c r="K79" s="49">
        <v>37.5</v>
      </c>
      <c r="L79" s="49">
        <v>37.5</v>
      </c>
      <c r="M79" s="49">
        <v>37.5</v>
      </c>
      <c r="N79" s="49">
        <v>37.5</v>
      </c>
      <c r="O79" s="49">
        <v>37.5</v>
      </c>
      <c r="P79" s="49">
        <v>37.5</v>
      </c>
      <c r="Q79" s="49">
        <v>37.5</v>
      </c>
      <c r="R79" s="49">
        <v>37.5</v>
      </c>
      <c r="S79" s="49">
        <v>18</v>
      </c>
      <c r="T79" s="49">
        <v>18</v>
      </c>
    </row>
    <row r="80" spans="1:22" s="53" customFormat="1" ht="15.75" customHeight="1" x14ac:dyDescent="0.25">
      <c r="A80" s="50">
        <v>2002</v>
      </c>
      <c r="B80" s="50">
        <v>12</v>
      </c>
      <c r="C80" s="51">
        <f t="shared" si="4"/>
        <v>15</v>
      </c>
      <c r="D80" s="51">
        <f t="shared" si="5"/>
        <v>180</v>
      </c>
      <c r="E80" s="49">
        <v>1664.81</v>
      </c>
      <c r="F80" s="49">
        <f t="shared" si="6"/>
        <v>110.98733333333332</v>
      </c>
      <c r="G80" s="52">
        <f t="shared" si="7"/>
        <v>9.0100371814201032E-3</v>
      </c>
      <c r="I80" s="49">
        <v>18</v>
      </c>
      <c r="J80" s="49">
        <v>18</v>
      </c>
      <c r="K80" s="49">
        <v>18</v>
      </c>
      <c r="L80" s="49">
        <v>18</v>
      </c>
      <c r="M80" s="49">
        <v>18</v>
      </c>
      <c r="N80" s="49">
        <v>18</v>
      </c>
      <c r="O80" s="49">
        <v>18</v>
      </c>
      <c r="P80" s="49">
        <v>18</v>
      </c>
      <c r="Q80" s="49">
        <v>18</v>
      </c>
      <c r="R80" s="49">
        <v>18</v>
      </c>
      <c r="S80" s="49">
        <v>0</v>
      </c>
      <c r="T80" s="49">
        <v>0</v>
      </c>
    </row>
    <row r="81" spans="1:22" s="53" customFormat="1" ht="15.75" customHeight="1" x14ac:dyDescent="0.25">
      <c r="A81" s="50">
        <v>2003</v>
      </c>
      <c r="B81" s="50">
        <v>12</v>
      </c>
      <c r="C81" s="51">
        <f t="shared" si="4"/>
        <v>9</v>
      </c>
      <c r="D81" s="51">
        <f t="shared" si="5"/>
        <v>108</v>
      </c>
      <c r="E81" s="49">
        <v>1664.81</v>
      </c>
      <c r="F81" s="49">
        <f t="shared" si="6"/>
        <v>184.97888888888889</v>
      </c>
      <c r="G81" s="52">
        <f t="shared" si="7"/>
        <v>5.406022308852061E-3</v>
      </c>
      <c r="I81" s="49">
        <v>0</v>
      </c>
      <c r="J81" s="49">
        <v>0</v>
      </c>
      <c r="K81" s="49">
        <v>0</v>
      </c>
      <c r="L81" s="49">
        <v>0</v>
      </c>
      <c r="M81" s="49">
        <v>18</v>
      </c>
      <c r="N81" s="49">
        <v>18</v>
      </c>
      <c r="O81" s="49">
        <v>18</v>
      </c>
      <c r="P81" s="49">
        <v>18</v>
      </c>
      <c r="Q81" s="49">
        <v>18</v>
      </c>
      <c r="R81" s="49">
        <v>18</v>
      </c>
      <c r="S81" s="49">
        <v>0</v>
      </c>
      <c r="T81" s="49">
        <v>0</v>
      </c>
    </row>
    <row r="82" spans="1:22" s="53" customFormat="1" ht="15.75" customHeight="1" x14ac:dyDescent="0.25">
      <c r="A82" s="50">
        <v>2004</v>
      </c>
      <c r="B82" s="50">
        <v>12</v>
      </c>
      <c r="C82" s="51">
        <f t="shared" si="4"/>
        <v>22.333333333333332</v>
      </c>
      <c r="D82" s="51">
        <f t="shared" si="5"/>
        <v>268</v>
      </c>
      <c r="E82" s="49">
        <v>1664.81</v>
      </c>
      <c r="F82" s="49">
        <f t="shared" si="6"/>
        <v>74.543731343283582</v>
      </c>
      <c r="G82" s="52">
        <f t="shared" si="7"/>
        <v>1.3414944247892151E-2</v>
      </c>
      <c r="I82" s="49">
        <v>0</v>
      </c>
      <c r="J82" s="49">
        <v>0</v>
      </c>
      <c r="K82" s="49">
        <v>20</v>
      </c>
      <c r="L82" s="49">
        <v>20</v>
      </c>
      <c r="M82" s="49">
        <v>38</v>
      </c>
      <c r="N82" s="49">
        <v>38</v>
      </c>
      <c r="O82" s="49">
        <v>38</v>
      </c>
      <c r="P82" s="49">
        <v>38</v>
      </c>
      <c r="Q82" s="49">
        <v>38</v>
      </c>
      <c r="R82" s="49">
        <v>38</v>
      </c>
      <c r="S82" s="49">
        <v>0</v>
      </c>
      <c r="T82" s="49">
        <v>0</v>
      </c>
    </row>
    <row r="83" spans="1:22" s="53" customFormat="1" ht="15.75" customHeight="1" x14ac:dyDescent="0.25">
      <c r="A83" s="50">
        <v>2005</v>
      </c>
      <c r="B83" s="50">
        <v>12</v>
      </c>
      <c r="C83" s="51">
        <f t="shared" si="4"/>
        <v>16.666666666666668</v>
      </c>
      <c r="D83" s="51">
        <f t="shared" si="5"/>
        <v>200</v>
      </c>
      <c r="E83" s="49">
        <v>1664.81</v>
      </c>
      <c r="F83" s="49">
        <f t="shared" si="6"/>
        <v>99.888599999999997</v>
      </c>
      <c r="G83" s="52">
        <f t="shared" si="7"/>
        <v>1.0011152423800114E-2</v>
      </c>
      <c r="I83" s="49">
        <v>0</v>
      </c>
      <c r="J83" s="49">
        <v>0</v>
      </c>
      <c r="K83" s="49">
        <v>20</v>
      </c>
      <c r="L83" s="49">
        <v>20</v>
      </c>
      <c r="M83" s="49">
        <v>20</v>
      </c>
      <c r="N83" s="49">
        <v>20</v>
      </c>
      <c r="O83" s="49">
        <v>20</v>
      </c>
      <c r="P83" s="49">
        <v>20</v>
      </c>
      <c r="Q83" s="49">
        <v>20</v>
      </c>
      <c r="R83" s="49">
        <v>20</v>
      </c>
      <c r="S83" s="49">
        <v>20</v>
      </c>
      <c r="T83" s="49">
        <v>20</v>
      </c>
    </row>
    <row r="84" spans="1:22" s="53" customFormat="1" ht="15.75" customHeight="1" x14ac:dyDescent="0.25">
      <c r="A84" s="50">
        <v>2006</v>
      </c>
      <c r="B84" s="50">
        <v>12</v>
      </c>
      <c r="C84" s="51">
        <f t="shared" si="4"/>
        <v>17.541666666666668</v>
      </c>
      <c r="D84" s="51">
        <f t="shared" si="5"/>
        <v>210.5</v>
      </c>
      <c r="E84" s="49">
        <v>1664.81</v>
      </c>
      <c r="F84" s="49">
        <f t="shared" si="6"/>
        <v>94.906033254156753</v>
      </c>
      <c r="G84" s="52">
        <f t="shared" si="7"/>
        <v>1.053673792604962E-2</v>
      </c>
      <c r="I84" s="49">
        <v>20</v>
      </c>
      <c r="J84" s="49">
        <v>20</v>
      </c>
      <c r="K84" s="49">
        <v>21.5</v>
      </c>
      <c r="L84" s="49">
        <v>21.5</v>
      </c>
      <c r="M84" s="49">
        <v>21.5</v>
      </c>
      <c r="N84" s="49">
        <v>21.5</v>
      </c>
      <c r="O84" s="49">
        <v>21.5</v>
      </c>
      <c r="P84" s="49">
        <v>21.5</v>
      </c>
      <c r="Q84" s="49">
        <v>21.5</v>
      </c>
      <c r="R84" s="49">
        <v>20</v>
      </c>
      <c r="S84" s="49">
        <v>0</v>
      </c>
      <c r="T84" s="49">
        <v>0</v>
      </c>
    </row>
    <row r="85" spans="1:22" s="53" customFormat="1" ht="15.75" customHeight="1" x14ac:dyDescent="0.25">
      <c r="A85" s="50">
        <v>2007</v>
      </c>
      <c r="B85" s="50">
        <v>12</v>
      </c>
      <c r="C85" s="51">
        <f t="shared" si="4"/>
        <v>13.9</v>
      </c>
      <c r="D85" s="51">
        <f t="shared" si="5"/>
        <v>166.8</v>
      </c>
      <c r="E85" s="49">
        <v>1664.81</v>
      </c>
      <c r="F85" s="49">
        <f t="shared" si="6"/>
        <v>119.7705035971223</v>
      </c>
      <c r="G85" s="52">
        <f t="shared" si="7"/>
        <v>8.349301121449295E-3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0.3</v>
      </c>
      <c r="P85" s="49">
        <v>162.19999999999999</v>
      </c>
      <c r="Q85" s="49">
        <v>4.3</v>
      </c>
      <c r="R85" s="49">
        <v>0</v>
      </c>
      <c r="S85" s="49">
        <v>0</v>
      </c>
      <c r="T85" s="49">
        <v>0</v>
      </c>
    </row>
    <row r="86" spans="1:22" s="53" customFormat="1" ht="15.75" customHeight="1" x14ac:dyDescent="0.25">
      <c r="A86" s="50">
        <v>2008</v>
      </c>
      <c r="B86" s="50">
        <v>12</v>
      </c>
      <c r="C86" s="51">
        <f t="shared" si="4"/>
        <v>24.983333333333334</v>
      </c>
      <c r="D86" s="51">
        <f t="shared" si="5"/>
        <v>299.8</v>
      </c>
      <c r="E86" s="49">
        <v>1664.81</v>
      </c>
      <c r="F86" s="49">
        <f t="shared" si="6"/>
        <v>66.636824549699796</v>
      </c>
      <c r="G86" s="52">
        <f t="shared" si="7"/>
        <v>1.5006717483276371E-2</v>
      </c>
      <c r="I86" s="49">
        <v>0</v>
      </c>
      <c r="J86" s="49">
        <v>0</v>
      </c>
      <c r="K86" s="49">
        <v>0.1</v>
      </c>
      <c r="L86" s="49">
        <v>0</v>
      </c>
      <c r="M86" s="49">
        <v>299.7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2" s="53" customFormat="1" ht="15.75" customHeight="1" x14ac:dyDescent="0.25">
      <c r="A87" s="50">
        <v>2009</v>
      </c>
      <c r="B87" s="50">
        <v>12</v>
      </c>
      <c r="C87" s="51">
        <f t="shared" si="4"/>
        <v>38.208333333333336</v>
      </c>
      <c r="D87" s="51">
        <f t="shared" si="5"/>
        <v>458.5</v>
      </c>
      <c r="E87" s="49">
        <v>1664.81</v>
      </c>
      <c r="F87" s="49">
        <f t="shared" si="6"/>
        <v>43.571908396946561</v>
      </c>
      <c r="G87" s="52">
        <f t="shared" si="7"/>
        <v>2.295056693156176E-2</v>
      </c>
      <c r="I87" s="49">
        <v>0</v>
      </c>
      <c r="J87" s="49">
        <v>274.5</v>
      </c>
      <c r="K87" s="49">
        <v>184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  <row r="88" spans="1:22" s="53" customFormat="1" ht="15.75" customHeight="1" x14ac:dyDescent="0.25">
      <c r="A88" s="50">
        <v>2010</v>
      </c>
      <c r="B88" s="50">
        <v>12</v>
      </c>
      <c r="C88" s="51">
        <f t="shared" si="4"/>
        <v>29.816666666666666</v>
      </c>
      <c r="D88" s="51">
        <f t="shared" si="5"/>
        <v>357.8</v>
      </c>
      <c r="E88" s="49">
        <v>1664.81</v>
      </c>
      <c r="F88" s="49">
        <f t="shared" si="6"/>
        <v>55.834879821129121</v>
      </c>
      <c r="G88" s="52">
        <f t="shared" si="7"/>
        <v>1.7909951686178403E-2</v>
      </c>
      <c r="I88" s="49">
        <v>0</v>
      </c>
      <c r="J88" s="49">
        <v>0</v>
      </c>
      <c r="K88" s="49">
        <v>161.30000000000001</v>
      </c>
      <c r="L88" s="49">
        <v>188</v>
      </c>
      <c r="M88" s="49">
        <v>8.5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>
        <v>0</v>
      </c>
      <c r="T88" s="49">
        <v>0</v>
      </c>
    </row>
    <row r="89" spans="1:22" s="53" customFormat="1" ht="15.75" customHeight="1" x14ac:dyDescent="0.25">
      <c r="A89" s="50">
        <v>2011</v>
      </c>
      <c r="B89" s="50">
        <v>12</v>
      </c>
      <c r="C89" s="51">
        <f t="shared" si="4"/>
        <v>0</v>
      </c>
      <c r="D89" s="51">
        <f t="shared" si="5"/>
        <v>0</v>
      </c>
      <c r="E89" s="49">
        <v>1664.81</v>
      </c>
      <c r="F89" s="49" t="e">
        <f t="shared" si="6"/>
        <v>#DIV/0!</v>
      </c>
      <c r="G89" s="52">
        <f t="shared" si="7"/>
        <v>0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>
        <v>0</v>
      </c>
      <c r="T89" s="49">
        <v>0</v>
      </c>
    </row>
    <row r="90" spans="1:22" s="53" customFormat="1" ht="15.75" customHeight="1" x14ac:dyDescent="0.25">
      <c r="A90" s="50">
        <v>2012</v>
      </c>
      <c r="B90" s="50">
        <v>12</v>
      </c>
      <c r="C90" s="51">
        <f t="shared" si="4"/>
        <v>48.641666666666673</v>
      </c>
      <c r="D90" s="51">
        <f t="shared" si="5"/>
        <v>583.70000000000005</v>
      </c>
      <c r="E90" s="49">
        <v>1664.81</v>
      </c>
      <c r="F90" s="49">
        <f t="shared" si="6"/>
        <v>34.226006510193585</v>
      </c>
      <c r="G90" s="52">
        <f t="shared" si="7"/>
        <v>2.9217548348860634E-2</v>
      </c>
      <c r="I90" s="49">
        <v>0</v>
      </c>
      <c r="J90" s="49">
        <v>0</v>
      </c>
      <c r="K90" s="49">
        <v>268.39999999999998</v>
      </c>
      <c r="L90" s="49">
        <v>314.3</v>
      </c>
      <c r="M90" s="49">
        <v>1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2" s="53" customFormat="1" ht="15.75" customHeight="1" x14ac:dyDescent="0.25">
      <c r="A91" s="50">
        <v>2013</v>
      </c>
      <c r="B91" s="50">
        <v>12</v>
      </c>
      <c r="C91" s="51">
        <f t="shared" si="4"/>
        <v>36.266666666666673</v>
      </c>
      <c r="D91" s="51">
        <f t="shared" si="5"/>
        <v>435.20000000000005</v>
      </c>
      <c r="E91" s="49">
        <v>1664.81</v>
      </c>
      <c r="F91" s="49">
        <f t="shared" si="6"/>
        <v>45.904687499999987</v>
      </c>
      <c r="G91" s="52">
        <f t="shared" si="7"/>
        <v>2.1784267674189051E-2</v>
      </c>
      <c r="I91" s="49">
        <v>0</v>
      </c>
      <c r="J91" s="49">
        <v>0</v>
      </c>
      <c r="K91" s="49">
        <v>0</v>
      </c>
      <c r="L91" s="49">
        <v>0</v>
      </c>
      <c r="M91" s="49">
        <v>307.8</v>
      </c>
      <c r="N91" s="49">
        <v>127.4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2" s="53" customFormat="1" ht="15.75" customHeight="1" x14ac:dyDescent="0.25">
      <c r="A92" s="50">
        <v>2014</v>
      </c>
      <c r="B92" s="50">
        <v>12</v>
      </c>
      <c r="C92" s="51">
        <f t="shared" si="4"/>
        <v>18.774999999999999</v>
      </c>
      <c r="D92" s="51">
        <f t="shared" si="5"/>
        <v>225.29999999999998</v>
      </c>
      <c r="E92" s="49">
        <v>1664.81</v>
      </c>
      <c r="F92" s="49">
        <f t="shared" si="6"/>
        <v>88.67163781624501</v>
      </c>
      <c r="G92" s="52">
        <f t="shared" si="7"/>
        <v>1.1277563205410826E-2</v>
      </c>
      <c r="I92" s="49">
        <v>0</v>
      </c>
      <c r="J92" s="49">
        <v>0</v>
      </c>
      <c r="K92" s="49">
        <v>0</v>
      </c>
      <c r="L92" s="49">
        <v>205.7</v>
      </c>
      <c r="M92" s="49">
        <v>19.600000000000001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  <c r="V92" s="48"/>
    </row>
    <row r="93" spans="1:22" s="53" customFormat="1" ht="15.75" customHeight="1" x14ac:dyDescent="0.25">
      <c r="A93" s="50">
        <v>2015</v>
      </c>
      <c r="B93" s="50">
        <v>12</v>
      </c>
      <c r="C93" s="51">
        <f t="shared" ref="C93:C98" si="8">D93/B93</f>
        <v>7.5916666666666659</v>
      </c>
      <c r="D93" s="51">
        <f t="shared" ref="D93:D98" si="9">SUM(I93:T93)</f>
        <v>91.1</v>
      </c>
      <c r="E93" s="49">
        <v>998.77</v>
      </c>
      <c r="F93" s="49">
        <f t="shared" ref="F93:F98" si="10">E93/C93</f>
        <v>131.56136114160265</v>
      </c>
      <c r="G93" s="52">
        <f t="shared" ref="G93:G98" si="11">C93/E93</f>
        <v>7.6010159162436461E-3</v>
      </c>
      <c r="I93" s="49">
        <v>0</v>
      </c>
      <c r="J93" s="49">
        <v>0</v>
      </c>
      <c r="K93" s="49">
        <v>0</v>
      </c>
      <c r="L93" s="49">
        <v>91.1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V93" s="48"/>
    </row>
    <row r="94" spans="1:22" s="53" customFormat="1" ht="15.75" customHeight="1" x14ac:dyDescent="0.25">
      <c r="A94" s="50">
        <v>2016</v>
      </c>
      <c r="B94" s="50">
        <v>12</v>
      </c>
      <c r="C94" s="51">
        <f t="shared" si="8"/>
        <v>21.025000000000002</v>
      </c>
      <c r="D94" s="51">
        <f t="shared" si="9"/>
        <v>252.3</v>
      </c>
      <c r="E94" s="49">
        <v>998.77</v>
      </c>
      <c r="F94" s="49">
        <f t="shared" si="10"/>
        <v>47.503923900118899</v>
      </c>
      <c r="G94" s="52">
        <f t="shared" si="11"/>
        <v>2.1050892597895415E-2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252</v>
      </c>
      <c r="O94" s="49">
        <v>0.3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2" s="53" customFormat="1" ht="15.75" customHeight="1" x14ac:dyDescent="0.25">
      <c r="A95" s="50">
        <v>2017</v>
      </c>
      <c r="B95" s="50">
        <v>12</v>
      </c>
      <c r="C95" s="51">
        <f t="shared" si="8"/>
        <v>13.015833333333333</v>
      </c>
      <c r="D95" s="51">
        <f t="shared" si="9"/>
        <v>156.19</v>
      </c>
      <c r="E95" s="49">
        <v>998.77</v>
      </c>
      <c r="F95" s="49">
        <f t="shared" si="10"/>
        <v>76.735002240860496</v>
      </c>
      <c r="G95" s="52">
        <f t="shared" si="11"/>
        <v>1.3031862524238146E-2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156.19</v>
      </c>
      <c r="Q95" s="49">
        <v>0</v>
      </c>
      <c r="R95" s="49">
        <v>0</v>
      </c>
      <c r="S95" s="49">
        <v>0</v>
      </c>
      <c r="T95" s="49">
        <v>0</v>
      </c>
    </row>
    <row r="96" spans="1:22" s="53" customFormat="1" ht="15.75" customHeight="1" x14ac:dyDescent="0.25">
      <c r="A96" s="50">
        <v>2018</v>
      </c>
      <c r="B96" s="50">
        <v>12</v>
      </c>
      <c r="C96" s="51">
        <f t="shared" si="8"/>
        <v>10.016666666666667</v>
      </c>
      <c r="D96" s="51">
        <f t="shared" si="9"/>
        <v>120.2</v>
      </c>
      <c r="E96" s="49">
        <v>998.77</v>
      </c>
      <c r="F96" s="49">
        <f t="shared" si="10"/>
        <v>99.710815307820283</v>
      </c>
      <c r="G96" s="52">
        <f t="shared" si="11"/>
        <v>1.0029002339544308E-2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120.2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2019</v>
      </c>
      <c r="B97" s="50">
        <v>12</v>
      </c>
      <c r="C97" s="51">
        <f t="shared" si="8"/>
        <v>9.375</v>
      </c>
      <c r="D97" s="51">
        <f t="shared" si="9"/>
        <v>112.5</v>
      </c>
      <c r="E97" s="49">
        <v>998.77</v>
      </c>
      <c r="F97" s="49">
        <f t="shared" si="10"/>
        <v>106.53546666666666</v>
      </c>
      <c r="G97" s="52">
        <f t="shared" si="11"/>
        <v>9.3865454509046136E-3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112.5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2020</v>
      </c>
      <c r="B98" s="50">
        <v>12</v>
      </c>
      <c r="C98" s="51">
        <f t="shared" si="8"/>
        <v>5.0750000000000002</v>
      </c>
      <c r="D98" s="51">
        <f t="shared" si="9"/>
        <v>60.9</v>
      </c>
      <c r="E98" s="49">
        <v>998.77</v>
      </c>
      <c r="F98" s="49">
        <f t="shared" si="10"/>
        <v>196.80197044334975</v>
      </c>
      <c r="G98" s="52">
        <f t="shared" si="11"/>
        <v>5.0812499374230302E-3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60.9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50">
        <v>2021</v>
      </c>
      <c r="B99" s="50">
        <v>12</v>
      </c>
      <c r="C99" s="51">
        <f t="shared" ref="C99" si="12">D99/B99</f>
        <v>0</v>
      </c>
      <c r="D99" s="51">
        <f t="shared" ref="D99" si="13">SUM(I99:T99)</f>
        <v>0</v>
      </c>
      <c r="E99" s="49">
        <v>998.77</v>
      </c>
      <c r="F99" s="49" t="e">
        <f t="shared" ref="F99" si="14">E99/C99</f>
        <v>#DIV/0!</v>
      </c>
      <c r="G99" s="52">
        <f t="shared" ref="G99" si="15">C99/E99</f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ht="15.75" customHeight="1" x14ac:dyDescent="0.25">
      <c r="A100" s="50">
        <v>2022</v>
      </c>
      <c r="B100" s="50">
        <v>12</v>
      </c>
      <c r="C100" s="51">
        <f t="shared" ref="C100" si="16">D100/B100</f>
        <v>12.675000000000002</v>
      </c>
      <c r="D100" s="51">
        <f t="shared" ref="D100" si="17">SUM(I100:T100)</f>
        <v>152.10000000000002</v>
      </c>
      <c r="E100" s="49">
        <v>998.77</v>
      </c>
      <c r="F100" s="49">
        <f t="shared" ref="F100" si="18">E100/C100</f>
        <v>78.798422090729773</v>
      </c>
      <c r="G100" s="52">
        <f t="shared" ref="G100" si="19">C100/E100</f>
        <v>1.2690609449623039E-2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54">
        <v>75.900000000000006</v>
      </c>
      <c r="Q100" s="54">
        <v>76.2</v>
      </c>
      <c r="R100" s="49">
        <v>0</v>
      </c>
      <c r="S100" s="49">
        <v>0</v>
      </c>
      <c r="T100" s="49">
        <v>0</v>
      </c>
    </row>
    <row r="101" spans="1:20" ht="15.75" customHeight="1" x14ac:dyDescent="0.25">
      <c r="A101" s="50">
        <v>2023</v>
      </c>
      <c r="B101" s="50">
        <v>12</v>
      </c>
      <c r="C101" s="51">
        <f t="shared" ref="C101" si="20">D101/B101</f>
        <v>14.116666666666667</v>
      </c>
      <c r="D101" s="51">
        <f t="shared" ref="D101" si="21">SUM(I101:T101)</f>
        <v>169.4</v>
      </c>
      <c r="E101" s="49">
        <v>998.77</v>
      </c>
      <c r="F101" s="49">
        <f t="shared" ref="F101" si="22">E101/C101</f>
        <v>70.751121605667052</v>
      </c>
      <c r="G101" s="52">
        <f t="shared" ref="G101" si="23">C101/E101</f>
        <v>1.4134051550073258E-2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169.4</v>
      </c>
    </row>
    <row r="102" spans="1:20" ht="15.75" customHeight="1" x14ac:dyDescent="0.25">
      <c r="A102" s="50">
        <v>2024</v>
      </c>
      <c r="B102" s="50">
        <v>12</v>
      </c>
      <c r="C102" s="51">
        <f t="shared" ref="C102" si="24">D102/B102</f>
        <v>0</v>
      </c>
      <c r="D102" s="51">
        <f t="shared" ref="D102" si="25">SUM(I102:T102)</f>
        <v>0</v>
      </c>
      <c r="E102" s="49">
        <v>998.77</v>
      </c>
      <c r="F102" s="49" t="e">
        <f t="shared" ref="F102" si="26">E102/C102</f>
        <v>#DIV/0!</v>
      </c>
      <c r="G102" s="52">
        <f t="shared" ref="G102" si="27">C102/E102</f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ht="15.75" customHeight="1" x14ac:dyDescent="0.25">
      <c r="A103" s="50">
        <v>2025</v>
      </c>
      <c r="B103" s="50">
        <v>12</v>
      </c>
      <c r="C103" s="51">
        <f t="shared" ref="C103" si="28">D103/B103</f>
        <v>16.541666666666668</v>
      </c>
      <c r="D103" s="51">
        <f t="shared" ref="D103" si="29">SUM(I103:T103)</f>
        <v>198.5</v>
      </c>
      <c r="E103" s="49">
        <v>998.77</v>
      </c>
      <c r="F103" s="49">
        <f t="shared" ref="F103" si="30">E103/C103</f>
        <v>60.379042821158684</v>
      </c>
      <c r="G103" s="52">
        <f t="shared" ref="G103" si="31">C103/E103</f>
        <v>1.6562037973373918E-2</v>
      </c>
      <c r="I103" s="49">
        <v>0</v>
      </c>
      <c r="J103" s="49">
        <v>0</v>
      </c>
      <c r="K103" s="49">
        <v>0</v>
      </c>
      <c r="L103" s="49">
        <v>198.5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99"/>
  <sheetViews>
    <sheetView zoomScale="80" zoomScaleNormal="80" workbookViewId="0">
      <pane ySplit="1440" topLeftCell="A63" activePane="bottomLeft"/>
      <selection sqref="A1:XFD1048576"/>
      <selection pane="bottomLeft" activeCell="A99" sqref="A99:XFD99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6640625" style="56" customWidth="1"/>
    <col min="6" max="6" width="9.33203125" style="56" bestFit="1" customWidth="1"/>
    <col min="7" max="7" width="9.5546875" style="57" bestFit="1" customWidth="1"/>
    <col min="8" max="8" width="9.109375" style="40"/>
    <col min="9" max="9" width="9.33203125" style="56" bestFit="1" customWidth="1"/>
    <col min="10" max="10" width="10.88671875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5546875" style="56" customWidth="1"/>
    <col min="20" max="20" width="11.6640625" style="56" customWidth="1"/>
    <col min="21" max="16384" width="9.109375" style="40"/>
  </cols>
  <sheetData>
    <row r="1" spans="1:20" ht="15" x14ac:dyDescent="0.25">
      <c r="A1" s="120" t="s">
        <v>77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62">
        <v>1929</v>
      </c>
      <c r="B3" s="62">
        <v>12</v>
      </c>
      <c r="C3" s="51">
        <f>D3/B3</f>
        <v>92.5</v>
      </c>
      <c r="D3" s="51">
        <f>SUM(I3:T3)</f>
        <v>1110</v>
      </c>
      <c r="E3" s="49">
        <v>1707.4</v>
      </c>
      <c r="F3" s="49">
        <f>E3/C3</f>
        <v>18.458378378378381</v>
      </c>
      <c r="G3" s="52">
        <f>C3/E3</f>
        <v>5.4175940025770176E-2</v>
      </c>
      <c r="H3" s="98"/>
      <c r="I3" s="49">
        <v>29.3</v>
      </c>
      <c r="J3" s="49">
        <v>106.1</v>
      </c>
      <c r="K3" s="49">
        <v>114</v>
      </c>
      <c r="L3" s="49">
        <v>112.4</v>
      </c>
      <c r="M3" s="49">
        <v>134.5</v>
      </c>
      <c r="N3" s="49">
        <v>132.4</v>
      </c>
      <c r="O3" s="49">
        <v>150</v>
      </c>
      <c r="P3" s="49">
        <v>71.900000000000006</v>
      </c>
      <c r="Q3" s="49">
        <v>57</v>
      </c>
      <c r="R3" s="49">
        <v>60.3</v>
      </c>
      <c r="S3" s="49">
        <v>66.7</v>
      </c>
      <c r="T3" s="49">
        <v>75.400000000000006</v>
      </c>
    </row>
    <row r="4" spans="1:20" s="53" customFormat="1" ht="15.75" customHeight="1" x14ac:dyDescent="0.25">
      <c r="A4" s="62">
        <v>1930</v>
      </c>
      <c r="B4" s="62">
        <v>12</v>
      </c>
      <c r="C4" s="51">
        <f t="shared" ref="C4:C67" si="0">D4/B4</f>
        <v>54.841666666666661</v>
      </c>
      <c r="D4" s="51">
        <f t="shared" ref="D4:D67" si="1">SUM(I4:T4)</f>
        <v>658.09999999999991</v>
      </c>
      <c r="E4" s="49">
        <v>1707.4</v>
      </c>
      <c r="F4" s="49">
        <f t="shared" ref="F4:F67" si="2">E4/C4</f>
        <v>31.1332624221243</v>
      </c>
      <c r="G4" s="52">
        <f t="shared" ref="G4:G67" si="3">C4/E4</f>
        <v>3.2119987505368784E-2</v>
      </c>
      <c r="H4" s="98"/>
      <c r="I4" s="49">
        <v>85.8</v>
      </c>
      <c r="J4" s="49">
        <v>25.2</v>
      </c>
      <c r="K4" s="49">
        <v>13</v>
      </c>
      <c r="L4" s="49">
        <v>13</v>
      </c>
      <c r="M4" s="49">
        <v>14.7</v>
      </c>
      <c r="N4" s="49">
        <v>66</v>
      </c>
      <c r="O4" s="49">
        <v>86.6</v>
      </c>
      <c r="P4" s="49">
        <v>87</v>
      </c>
      <c r="Q4" s="49">
        <v>74.400000000000006</v>
      </c>
      <c r="R4" s="49">
        <v>74.599999999999994</v>
      </c>
      <c r="S4" s="49">
        <v>73.400000000000006</v>
      </c>
      <c r="T4" s="49">
        <v>44.4</v>
      </c>
    </row>
    <row r="5" spans="1:20" s="53" customFormat="1" ht="15.75" customHeight="1" x14ac:dyDescent="0.25">
      <c r="A5" s="62">
        <v>1931</v>
      </c>
      <c r="B5" s="62">
        <v>12</v>
      </c>
      <c r="C5" s="51">
        <f t="shared" si="0"/>
        <v>40.35</v>
      </c>
      <c r="D5" s="51">
        <f t="shared" si="1"/>
        <v>484.20000000000005</v>
      </c>
      <c r="E5" s="49">
        <v>1707.4</v>
      </c>
      <c r="F5" s="49">
        <f t="shared" si="2"/>
        <v>42.314745972738535</v>
      </c>
      <c r="G5" s="52">
        <f t="shared" si="3"/>
        <v>2.3632423567998124E-2</v>
      </c>
      <c r="H5" s="98"/>
      <c r="I5" s="49">
        <v>43</v>
      </c>
      <c r="J5" s="49">
        <v>43</v>
      </c>
      <c r="K5" s="49">
        <v>43</v>
      </c>
      <c r="L5" s="49">
        <v>43</v>
      </c>
      <c r="M5" s="49">
        <v>43</v>
      </c>
      <c r="N5" s="49">
        <v>43</v>
      </c>
      <c r="O5" s="49">
        <v>99.3</v>
      </c>
      <c r="P5" s="49">
        <v>92.5</v>
      </c>
      <c r="Q5" s="49">
        <v>7.3</v>
      </c>
      <c r="R5" s="49">
        <v>7.1</v>
      </c>
      <c r="S5" s="49">
        <v>10</v>
      </c>
      <c r="T5" s="49">
        <v>10</v>
      </c>
    </row>
    <row r="6" spans="1:20" s="53" customFormat="1" ht="15.75" customHeight="1" x14ac:dyDescent="0.25">
      <c r="A6" s="62">
        <v>1932</v>
      </c>
      <c r="B6" s="62">
        <v>12</v>
      </c>
      <c r="C6" s="51">
        <f t="shared" si="0"/>
        <v>21.558333333333334</v>
      </c>
      <c r="D6" s="51">
        <f t="shared" si="1"/>
        <v>258.7</v>
      </c>
      <c r="E6" s="49">
        <v>1707.4</v>
      </c>
      <c r="F6" s="49">
        <f t="shared" si="2"/>
        <v>79.199072284499422</v>
      </c>
      <c r="G6" s="52">
        <f t="shared" si="3"/>
        <v>1.2626410526726797E-2</v>
      </c>
      <c r="H6" s="98"/>
      <c r="I6" s="49">
        <v>10</v>
      </c>
      <c r="J6" s="49">
        <v>10</v>
      </c>
      <c r="K6" s="49">
        <v>10</v>
      </c>
      <c r="L6" s="49">
        <v>10</v>
      </c>
      <c r="M6" s="49">
        <v>10</v>
      </c>
      <c r="N6" s="49">
        <v>10</v>
      </c>
      <c r="O6" s="49">
        <v>9</v>
      </c>
      <c r="P6" s="49">
        <v>5.4</v>
      </c>
      <c r="Q6" s="49">
        <v>7</v>
      </c>
      <c r="R6" s="49">
        <v>7</v>
      </c>
      <c r="S6" s="49">
        <v>74.3</v>
      </c>
      <c r="T6" s="49">
        <v>96</v>
      </c>
    </row>
    <row r="7" spans="1:20" s="53" customFormat="1" ht="15.75" customHeight="1" x14ac:dyDescent="0.25">
      <c r="A7" s="62">
        <v>1933</v>
      </c>
      <c r="B7" s="62">
        <v>12</v>
      </c>
      <c r="C7" s="51">
        <f t="shared" si="0"/>
        <v>48.925000000000004</v>
      </c>
      <c r="D7" s="51">
        <f t="shared" si="1"/>
        <v>587.1</v>
      </c>
      <c r="E7" s="49">
        <v>1707.4</v>
      </c>
      <c r="F7" s="49">
        <f t="shared" si="2"/>
        <v>34.898313745528867</v>
      </c>
      <c r="G7" s="52">
        <f t="shared" si="3"/>
        <v>2.8654679629846552E-2</v>
      </c>
      <c r="H7" s="98"/>
      <c r="I7" s="49">
        <v>96</v>
      </c>
      <c r="J7" s="49">
        <v>96</v>
      </c>
      <c r="K7" s="49">
        <v>96</v>
      </c>
      <c r="L7" s="49">
        <v>63.9</v>
      </c>
      <c r="M7" s="49">
        <v>25</v>
      </c>
      <c r="N7" s="49">
        <v>25</v>
      </c>
      <c r="O7" s="49">
        <v>25</v>
      </c>
      <c r="P7" s="49">
        <v>25</v>
      </c>
      <c r="Q7" s="49">
        <v>25</v>
      </c>
      <c r="R7" s="49">
        <v>25</v>
      </c>
      <c r="S7" s="49">
        <v>24.6</v>
      </c>
      <c r="T7" s="49">
        <v>60.6</v>
      </c>
    </row>
    <row r="8" spans="1:20" s="53" customFormat="1" ht="15.75" customHeight="1" x14ac:dyDescent="0.25">
      <c r="A8" s="62">
        <v>1934</v>
      </c>
      <c r="B8" s="62">
        <v>12</v>
      </c>
      <c r="C8" s="51">
        <f t="shared" si="0"/>
        <v>98.491666666666674</v>
      </c>
      <c r="D8" s="51">
        <f t="shared" si="1"/>
        <v>1181.9000000000001</v>
      </c>
      <c r="E8" s="49">
        <v>1707.4</v>
      </c>
      <c r="F8" s="49">
        <f t="shared" si="2"/>
        <v>17.335476774684828</v>
      </c>
      <c r="G8" s="52">
        <f t="shared" si="3"/>
        <v>5.768517433915115E-2</v>
      </c>
      <c r="H8" s="98"/>
      <c r="I8" s="49">
        <v>61</v>
      </c>
      <c r="J8" s="49">
        <v>67.400000000000006</v>
      </c>
      <c r="K8" s="49">
        <v>71</v>
      </c>
      <c r="L8" s="49">
        <v>102</v>
      </c>
      <c r="M8" s="49">
        <v>113</v>
      </c>
      <c r="N8" s="49">
        <v>113</v>
      </c>
      <c r="O8" s="49">
        <v>113</v>
      </c>
      <c r="P8" s="49">
        <v>113</v>
      </c>
      <c r="Q8" s="49">
        <v>113</v>
      </c>
      <c r="R8" s="49">
        <v>113</v>
      </c>
      <c r="S8" s="49">
        <v>113</v>
      </c>
      <c r="T8" s="49">
        <v>89.5</v>
      </c>
    </row>
    <row r="9" spans="1:20" s="53" customFormat="1" ht="15.75" customHeight="1" x14ac:dyDescent="0.25">
      <c r="A9" s="62">
        <v>1935</v>
      </c>
      <c r="B9" s="62">
        <v>12</v>
      </c>
      <c r="C9" s="51">
        <f t="shared" si="0"/>
        <v>91</v>
      </c>
      <c r="D9" s="51">
        <f t="shared" si="1"/>
        <v>1092</v>
      </c>
      <c r="E9" s="49">
        <v>1707.4</v>
      </c>
      <c r="F9" s="49">
        <f t="shared" si="2"/>
        <v>18.762637362637363</v>
      </c>
      <c r="G9" s="52">
        <f t="shared" si="3"/>
        <v>5.3297411268595524E-2</v>
      </c>
      <c r="H9" s="98"/>
      <c r="I9" s="49">
        <v>91</v>
      </c>
      <c r="J9" s="49">
        <v>91</v>
      </c>
      <c r="K9" s="49">
        <v>91</v>
      </c>
      <c r="L9" s="49">
        <v>91</v>
      </c>
      <c r="M9" s="49">
        <v>91</v>
      </c>
      <c r="N9" s="49">
        <v>91</v>
      </c>
      <c r="O9" s="49">
        <v>91</v>
      </c>
      <c r="P9" s="49">
        <v>91</v>
      </c>
      <c r="Q9" s="49">
        <v>91</v>
      </c>
      <c r="R9" s="49">
        <v>91</v>
      </c>
      <c r="S9" s="49">
        <v>91</v>
      </c>
      <c r="T9" s="49">
        <v>91</v>
      </c>
    </row>
    <row r="10" spans="1:20" s="53" customFormat="1" ht="15.75" customHeight="1" x14ac:dyDescent="0.25">
      <c r="A10" s="62">
        <v>1936</v>
      </c>
      <c r="B10" s="62">
        <v>12</v>
      </c>
      <c r="C10" s="51">
        <f t="shared" si="0"/>
        <v>83.775000000000006</v>
      </c>
      <c r="D10" s="51">
        <f t="shared" si="1"/>
        <v>1005.3000000000001</v>
      </c>
      <c r="E10" s="49">
        <v>1707.4</v>
      </c>
      <c r="F10" s="49">
        <f t="shared" si="2"/>
        <v>20.38078185616234</v>
      </c>
      <c r="G10" s="52">
        <f t="shared" si="3"/>
        <v>4.9065831088204288E-2</v>
      </c>
      <c r="H10" s="98"/>
      <c r="I10" s="49">
        <v>81.099999999999994</v>
      </c>
      <c r="J10" s="49">
        <v>79</v>
      </c>
      <c r="K10" s="49">
        <v>59.6</v>
      </c>
      <c r="L10" s="49">
        <v>72</v>
      </c>
      <c r="M10" s="49">
        <v>89</v>
      </c>
      <c r="N10" s="49">
        <v>92</v>
      </c>
      <c r="O10" s="49">
        <v>92</v>
      </c>
      <c r="P10" s="49">
        <v>92</v>
      </c>
      <c r="Q10" s="49">
        <v>87.6</v>
      </c>
      <c r="R10" s="49">
        <v>87</v>
      </c>
      <c r="S10" s="49">
        <v>87</v>
      </c>
      <c r="T10" s="49">
        <v>87</v>
      </c>
    </row>
    <row r="11" spans="1:20" s="53" customFormat="1" ht="15.75" customHeight="1" x14ac:dyDescent="0.25">
      <c r="A11" s="62">
        <v>1937</v>
      </c>
      <c r="B11" s="62">
        <v>12</v>
      </c>
      <c r="C11" s="51">
        <f t="shared" si="0"/>
        <v>69.74166666666666</v>
      </c>
      <c r="D11" s="51">
        <f t="shared" si="1"/>
        <v>836.9</v>
      </c>
      <c r="E11" s="49">
        <v>1707.4</v>
      </c>
      <c r="F11" s="49">
        <f t="shared" si="2"/>
        <v>24.481777990201941</v>
      </c>
      <c r="G11" s="52">
        <f t="shared" si="3"/>
        <v>4.0846706493303651E-2</v>
      </c>
      <c r="H11" s="98"/>
      <c r="I11" s="49">
        <v>82.6</v>
      </c>
      <c r="J11" s="49">
        <v>78</v>
      </c>
      <c r="K11" s="49">
        <v>78</v>
      </c>
      <c r="L11" s="49">
        <v>77</v>
      </c>
      <c r="M11" s="49">
        <v>76.2</v>
      </c>
      <c r="N11" s="49">
        <v>76</v>
      </c>
      <c r="O11" s="49">
        <v>76</v>
      </c>
      <c r="P11" s="49">
        <v>66.7</v>
      </c>
      <c r="Q11" s="49">
        <v>63</v>
      </c>
      <c r="R11" s="49">
        <v>63</v>
      </c>
      <c r="S11" s="49">
        <v>62</v>
      </c>
      <c r="T11" s="49">
        <v>38.4</v>
      </c>
    </row>
    <row r="12" spans="1:20" s="53" customFormat="1" ht="15.75" customHeight="1" x14ac:dyDescent="0.25">
      <c r="A12" s="62">
        <v>1938</v>
      </c>
      <c r="B12" s="62">
        <v>12</v>
      </c>
      <c r="C12" s="51">
        <f t="shared" si="0"/>
        <v>47.083333333333336</v>
      </c>
      <c r="D12" s="51">
        <f t="shared" si="1"/>
        <v>565</v>
      </c>
      <c r="E12" s="49">
        <v>1707.4</v>
      </c>
      <c r="F12" s="49">
        <f t="shared" si="2"/>
        <v>36.263362831858409</v>
      </c>
      <c r="G12" s="52">
        <f t="shared" si="3"/>
        <v>2.7576041544648783E-2</v>
      </c>
      <c r="H12" s="98"/>
      <c r="I12" s="49">
        <v>43</v>
      </c>
      <c r="J12" s="49">
        <v>43</v>
      </c>
      <c r="K12" s="49">
        <v>42.4</v>
      </c>
      <c r="L12" s="49">
        <v>35.6</v>
      </c>
      <c r="M12" s="49">
        <v>30</v>
      </c>
      <c r="N12" s="49">
        <v>30</v>
      </c>
      <c r="O12" s="49">
        <v>61</v>
      </c>
      <c r="P12" s="49">
        <v>56</v>
      </c>
      <c r="Q12" s="49">
        <v>56</v>
      </c>
      <c r="R12" s="49">
        <v>56</v>
      </c>
      <c r="S12" s="49">
        <v>56</v>
      </c>
      <c r="T12" s="49">
        <v>56</v>
      </c>
    </row>
    <row r="13" spans="1:20" s="53" customFormat="1" ht="15.75" customHeight="1" x14ac:dyDescent="0.25">
      <c r="A13" s="62">
        <v>1939</v>
      </c>
      <c r="B13" s="62">
        <v>12</v>
      </c>
      <c r="C13" s="51">
        <f t="shared" si="0"/>
        <v>47.066666666666663</v>
      </c>
      <c r="D13" s="51">
        <f t="shared" si="1"/>
        <v>564.79999999999995</v>
      </c>
      <c r="E13" s="49">
        <v>1707.4</v>
      </c>
      <c r="F13" s="49">
        <f t="shared" si="2"/>
        <v>36.276203966005667</v>
      </c>
      <c r="G13" s="52">
        <f t="shared" si="3"/>
        <v>2.7566280114013506E-2</v>
      </c>
      <c r="H13" s="98"/>
      <c r="I13" s="49">
        <v>56</v>
      </c>
      <c r="J13" s="49">
        <v>56</v>
      </c>
      <c r="K13" s="49">
        <v>56</v>
      </c>
      <c r="L13" s="49">
        <v>64</v>
      </c>
      <c r="M13" s="49">
        <v>67.5</v>
      </c>
      <c r="N13" s="49">
        <v>66</v>
      </c>
      <c r="O13" s="49">
        <v>64.7</v>
      </c>
      <c r="P13" s="49">
        <v>31.9</v>
      </c>
      <c r="Q13" s="49">
        <v>29</v>
      </c>
      <c r="R13" s="49">
        <v>29</v>
      </c>
      <c r="S13" s="49">
        <v>24</v>
      </c>
      <c r="T13" s="49">
        <v>20.7</v>
      </c>
    </row>
    <row r="14" spans="1:20" s="53" customFormat="1" ht="15.75" customHeight="1" x14ac:dyDescent="0.25">
      <c r="A14" s="62">
        <v>1940</v>
      </c>
      <c r="B14" s="62">
        <v>12</v>
      </c>
      <c r="C14" s="51">
        <f t="shared" si="0"/>
        <v>38.358333333333334</v>
      </c>
      <c r="D14" s="51">
        <f t="shared" si="1"/>
        <v>460.3</v>
      </c>
      <c r="E14" s="49">
        <v>1707.4</v>
      </c>
      <c r="F14" s="49">
        <f t="shared" si="2"/>
        <v>44.51184010427982</v>
      </c>
      <c r="G14" s="52">
        <f t="shared" si="3"/>
        <v>2.2465932607082892E-2</v>
      </c>
      <c r="H14" s="98"/>
      <c r="I14" s="49">
        <v>35</v>
      </c>
      <c r="J14" s="49">
        <v>35</v>
      </c>
      <c r="K14" s="49">
        <v>35</v>
      </c>
      <c r="L14" s="49">
        <v>35</v>
      </c>
      <c r="M14" s="49">
        <v>35</v>
      </c>
      <c r="N14" s="49">
        <v>35</v>
      </c>
      <c r="O14" s="49">
        <v>35</v>
      </c>
      <c r="P14" s="49">
        <v>35</v>
      </c>
      <c r="Q14" s="49">
        <v>35</v>
      </c>
      <c r="R14" s="49">
        <v>35</v>
      </c>
      <c r="S14" s="49">
        <v>36.299999999999997</v>
      </c>
      <c r="T14" s="49">
        <v>74</v>
      </c>
    </row>
    <row r="15" spans="1:20" s="53" customFormat="1" ht="15.75" customHeight="1" x14ac:dyDescent="0.25">
      <c r="A15" s="62">
        <v>1941</v>
      </c>
      <c r="B15" s="62">
        <v>12</v>
      </c>
      <c r="C15" s="51">
        <f t="shared" si="0"/>
        <v>38.125</v>
      </c>
      <c r="D15" s="51">
        <f t="shared" si="1"/>
        <v>457.5</v>
      </c>
      <c r="E15" s="49">
        <v>1707.4</v>
      </c>
      <c r="F15" s="49">
        <f t="shared" si="2"/>
        <v>44.784262295081973</v>
      </c>
      <c r="G15" s="52">
        <f t="shared" si="3"/>
        <v>2.232927257818906E-2</v>
      </c>
      <c r="H15" s="98"/>
      <c r="I15" s="49">
        <v>74</v>
      </c>
      <c r="J15" s="49">
        <v>59.5</v>
      </c>
      <c r="K15" s="49">
        <v>35.6</v>
      </c>
      <c r="L15" s="49">
        <v>34</v>
      </c>
      <c r="M15" s="49">
        <v>34</v>
      </c>
      <c r="N15" s="49">
        <v>34</v>
      </c>
      <c r="O15" s="49">
        <v>34</v>
      </c>
      <c r="P15" s="49">
        <v>34</v>
      </c>
      <c r="Q15" s="49">
        <v>34</v>
      </c>
      <c r="R15" s="49">
        <v>34</v>
      </c>
      <c r="S15" s="49">
        <v>34</v>
      </c>
      <c r="T15" s="49">
        <v>16.399999999999999</v>
      </c>
    </row>
    <row r="16" spans="1:20" s="53" customFormat="1" ht="15.75" customHeight="1" x14ac:dyDescent="0.25">
      <c r="A16" s="62">
        <v>1942</v>
      </c>
      <c r="B16" s="62">
        <v>12</v>
      </c>
      <c r="C16" s="51">
        <f t="shared" si="0"/>
        <v>28.783333333333331</v>
      </c>
      <c r="D16" s="51">
        <f t="shared" si="1"/>
        <v>345.4</v>
      </c>
      <c r="E16" s="49">
        <v>1707.4</v>
      </c>
      <c r="F16" s="49">
        <f t="shared" si="2"/>
        <v>59.319050376375223</v>
      </c>
      <c r="G16" s="52">
        <f t="shared" si="3"/>
        <v>1.6857990707118034E-2</v>
      </c>
      <c r="H16" s="98"/>
      <c r="I16" s="49">
        <v>15.4</v>
      </c>
      <c r="J16" s="49">
        <v>30</v>
      </c>
      <c r="K16" s="49">
        <v>30</v>
      </c>
      <c r="L16" s="49">
        <v>30</v>
      </c>
      <c r="M16" s="49">
        <v>30</v>
      </c>
      <c r="N16" s="49">
        <v>30</v>
      </c>
      <c r="O16" s="49">
        <v>30</v>
      </c>
      <c r="P16" s="49">
        <v>30</v>
      </c>
      <c r="Q16" s="49">
        <v>30</v>
      </c>
      <c r="R16" s="49">
        <v>30</v>
      </c>
      <c r="S16" s="49">
        <v>30</v>
      </c>
      <c r="T16" s="49">
        <v>30</v>
      </c>
    </row>
    <row r="17" spans="1:20" s="53" customFormat="1" ht="15.75" customHeight="1" x14ac:dyDescent="0.25">
      <c r="A17" s="62">
        <v>1943</v>
      </c>
      <c r="B17" s="62">
        <v>12</v>
      </c>
      <c r="C17" s="51">
        <f t="shared" si="0"/>
        <v>31.483333333333334</v>
      </c>
      <c r="D17" s="51">
        <f t="shared" si="1"/>
        <v>377.8</v>
      </c>
      <c r="E17" s="49">
        <v>1707.4</v>
      </c>
      <c r="F17" s="49">
        <f t="shared" si="2"/>
        <v>54.231868713605081</v>
      </c>
      <c r="G17" s="52">
        <f t="shared" si="3"/>
        <v>1.8439342470032406E-2</v>
      </c>
      <c r="H17" s="98"/>
      <c r="I17" s="49">
        <v>30</v>
      </c>
      <c r="J17" s="49">
        <v>30</v>
      </c>
      <c r="K17" s="49">
        <v>30.3</v>
      </c>
      <c r="L17" s="49">
        <v>35</v>
      </c>
      <c r="M17" s="49">
        <v>35</v>
      </c>
      <c r="N17" s="49">
        <v>35</v>
      </c>
      <c r="O17" s="49">
        <v>35</v>
      </c>
      <c r="P17" s="49">
        <v>28.5</v>
      </c>
      <c r="Q17" s="49">
        <v>30</v>
      </c>
      <c r="R17" s="49">
        <v>29</v>
      </c>
      <c r="S17" s="49">
        <v>30</v>
      </c>
      <c r="T17" s="49">
        <v>30</v>
      </c>
    </row>
    <row r="18" spans="1:20" s="53" customFormat="1" ht="15.75" customHeight="1" x14ac:dyDescent="0.25">
      <c r="A18" s="62">
        <v>1944</v>
      </c>
      <c r="B18" s="62">
        <v>12</v>
      </c>
      <c r="C18" s="51">
        <f t="shared" si="0"/>
        <v>29.816666666666666</v>
      </c>
      <c r="D18" s="51">
        <f t="shared" si="1"/>
        <v>357.8</v>
      </c>
      <c r="E18" s="49">
        <v>1707.4</v>
      </c>
      <c r="F18" s="49">
        <f t="shared" si="2"/>
        <v>57.26327557294578</v>
      </c>
      <c r="G18" s="52">
        <f t="shared" si="3"/>
        <v>1.7463199406505016E-2</v>
      </c>
      <c r="H18" s="98"/>
      <c r="I18" s="49">
        <v>30</v>
      </c>
      <c r="J18" s="49">
        <v>30</v>
      </c>
      <c r="K18" s="49">
        <v>30</v>
      </c>
      <c r="L18" s="49">
        <v>30</v>
      </c>
      <c r="M18" s="49">
        <v>30</v>
      </c>
      <c r="N18" s="49">
        <v>30</v>
      </c>
      <c r="O18" s="49">
        <v>30</v>
      </c>
      <c r="P18" s="49">
        <v>30</v>
      </c>
      <c r="Q18" s="49">
        <v>30</v>
      </c>
      <c r="R18" s="49">
        <v>30</v>
      </c>
      <c r="S18" s="49">
        <v>27.8</v>
      </c>
      <c r="T18" s="49">
        <v>30</v>
      </c>
    </row>
    <row r="19" spans="1:20" s="53" customFormat="1" ht="15.75" customHeight="1" x14ac:dyDescent="0.25">
      <c r="A19" s="62">
        <v>1945</v>
      </c>
      <c r="B19" s="62">
        <v>12</v>
      </c>
      <c r="C19" s="51">
        <f t="shared" si="0"/>
        <v>27.133333333333336</v>
      </c>
      <c r="D19" s="51">
        <f t="shared" si="1"/>
        <v>325.60000000000002</v>
      </c>
      <c r="E19" s="49">
        <v>1707.4</v>
      </c>
      <c r="F19" s="49">
        <f t="shared" si="2"/>
        <v>62.926289926289925</v>
      </c>
      <c r="G19" s="52">
        <f t="shared" si="3"/>
        <v>1.5891609074225918E-2</v>
      </c>
      <c r="H19" s="98"/>
      <c r="I19" s="49">
        <v>30</v>
      </c>
      <c r="J19" s="49">
        <v>30</v>
      </c>
      <c r="K19" s="49">
        <v>30</v>
      </c>
      <c r="L19" s="49">
        <v>30</v>
      </c>
      <c r="M19" s="49">
        <v>30</v>
      </c>
      <c r="N19" s="49">
        <v>24.4</v>
      </c>
      <c r="O19" s="49">
        <v>23</v>
      </c>
      <c r="P19" s="49">
        <v>23</v>
      </c>
      <c r="Q19" s="49">
        <v>20.6</v>
      </c>
      <c r="R19" s="49">
        <v>20</v>
      </c>
      <c r="S19" s="49">
        <v>24.6</v>
      </c>
      <c r="T19" s="49">
        <v>40</v>
      </c>
    </row>
    <row r="20" spans="1:20" s="53" customFormat="1" ht="15.75" customHeight="1" x14ac:dyDescent="0.25">
      <c r="A20" s="62">
        <v>1946</v>
      </c>
      <c r="B20" s="62">
        <v>12</v>
      </c>
      <c r="C20" s="51">
        <f t="shared" si="0"/>
        <v>39.483333333333334</v>
      </c>
      <c r="D20" s="51">
        <f t="shared" si="1"/>
        <v>473.8</v>
      </c>
      <c r="E20" s="49">
        <v>1707.4</v>
      </c>
      <c r="F20" s="49">
        <f t="shared" si="2"/>
        <v>43.24356268467708</v>
      </c>
      <c r="G20" s="52">
        <f t="shared" si="3"/>
        <v>2.3124829174963883E-2</v>
      </c>
      <c r="H20" s="98"/>
      <c r="I20" s="49">
        <v>40</v>
      </c>
      <c r="J20" s="49">
        <v>40</v>
      </c>
      <c r="K20" s="49">
        <v>40</v>
      </c>
      <c r="L20" s="49">
        <v>40</v>
      </c>
      <c r="M20" s="49">
        <v>40</v>
      </c>
      <c r="N20" s="49">
        <v>40</v>
      </c>
      <c r="O20" s="49">
        <v>40</v>
      </c>
      <c r="P20" s="49">
        <v>40</v>
      </c>
      <c r="Q20" s="49">
        <v>40</v>
      </c>
      <c r="R20" s="49">
        <v>40</v>
      </c>
      <c r="S20" s="49">
        <v>50</v>
      </c>
      <c r="T20" s="49">
        <v>23.8</v>
      </c>
    </row>
    <row r="21" spans="1:20" s="53" customFormat="1" ht="15.75" customHeight="1" x14ac:dyDescent="0.25">
      <c r="A21" s="62">
        <v>1947</v>
      </c>
      <c r="B21" s="62">
        <v>12</v>
      </c>
      <c r="C21" s="51">
        <f t="shared" si="0"/>
        <v>20</v>
      </c>
      <c r="D21" s="51">
        <f t="shared" si="1"/>
        <v>240</v>
      </c>
      <c r="E21" s="49">
        <v>1707.4</v>
      </c>
      <c r="F21" s="49">
        <f t="shared" si="2"/>
        <v>85.37</v>
      </c>
      <c r="G21" s="52">
        <f t="shared" si="3"/>
        <v>1.1713716762328687E-2</v>
      </c>
      <c r="H21" s="98"/>
      <c r="I21" s="49">
        <v>20</v>
      </c>
      <c r="J21" s="49">
        <v>20</v>
      </c>
      <c r="K21" s="49">
        <v>20</v>
      </c>
      <c r="L21" s="49">
        <v>20</v>
      </c>
      <c r="M21" s="49">
        <v>20</v>
      </c>
      <c r="N21" s="49">
        <v>20</v>
      </c>
      <c r="O21" s="49">
        <v>20</v>
      </c>
      <c r="P21" s="49">
        <v>20</v>
      </c>
      <c r="Q21" s="49">
        <v>20</v>
      </c>
      <c r="R21" s="49">
        <v>20</v>
      </c>
      <c r="S21" s="49">
        <v>20</v>
      </c>
      <c r="T21" s="49">
        <v>20</v>
      </c>
    </row>
    <row r="22" spans="1:20" s="53" customFormat="1" ht="15.75" customHeight="1" x14ac:dyDescent="0.25">
      <c r="A22" s="62">
        <v>1948</v>
      </c>
      <c r="B22" s="62">
        <v>12</v>
      </c>
      <c r="C22" s="51">
        <f t="shared" si="0"/>
        <v>13.683333333333332</v>
      </c>
      <c r="D22" s="51">
        <f t="shared" si="1"/>
        <v>164.2</v>
      </c>
      <c r="E22" s="49">
        <v>1707.4</v>
      </c>
      <c r="F22" s="49">
        <f t="shared" si="2"/>
        <v>124.77953714981732</v>
      </c>
      <c r="G22" s="52">
        <f t="shared" si="3"/>
        <v>8.014134551559875E-3</v>
      </c>
      <c r="H22" s="98"/>
      <c r="I22" s="49">
        <v>20</v>
      </c>
      <c r="J22" s="49">
        <v>20</v>
      </c>
      <c r="K22" s="49">
        <v>20</v>
      </c>
      <c r="L22" s="49">
        <v>20</v>
      </c>
      <c r="M22" s="49">
        <v>14</v>
      </c>
      <c r="N22" s="49">
        <v>9</v>
      </c>
      <c r="O22" s="49">
        <v>9</v>
      </c>
      <c r="P22" s="49">
        <v>9</v>
      </c>
      <c r="Q22" s="49">
        <v>9</v>
      </c>
      <c r="R22" s="49">
        <v>9</v>
      </c>
      <c r="S22" s="49">
        <v>9</v>
      </c>
      <c r="T22" s="49">
        <v>16.2</v>
      </c>
    </row>
    <row r="23" spans="1:20" s="53" customFormat="1" ht="15.75" customHeight="1" x14ac:dyDescent="0.25">
      <c r="A23" s="62">
        <v>1949</v>
      </c>
      <c r="B23" s="62">
        <v>12</v>
      </c>
      <c r="C23" s="51">
        <f t="shared" si="0"/>
        <v>29.733333333333334</v>
      </c>
      <c r="D23" s="51">
        <f t="shared" si="1"/>
        <v>356.8</v>
      </c>
      <c r="E23" s="49">
        <v>1707.4</v>
      </c>
      <c r="F23" s="49">
        <f t="shared" si="2"/>
        <v>57.423766816143498</v>
      </c>
      <c r="G23" s="52">
        <f t="shared" si="3"/>
        <v>1.7414392253328647E-2</v>
      </c>
      <c r="H23" s="98"/>
      <c r="I23" s="49">
        <v>30</v>
      </c>
      <c r="J23" s="49">
        <v>30</v>
      </c>
      <c r="K23" s="49">
        <v>30</v>
      </c>
      <c r="L23" s="49">
        <v>30</v>
      </c>
      <c r="M23" s="49">
        <v>30</v>
      </c>
      <c r="N23" s="49">
        <v>30</v>
      </c>
      <c r="O23" s="49">
        <v>30</v>
      </c>
      <c r="P23" s="49">
        <v>30</v>
      </c>
      <c r="Q23" s="49">
        <v>30</v>
      </c>
      <c r="R23" s="49">
        <v>30</v>
      </c>
      <c r="S23" s="49">
        <v>21.8</v>
      </c>
      <c r="T23" s="49">
        <v>35</v>
      </c>
    </row>
    <row r="24" spans="1:20" s="53" customFormat="1" ht="15.75" customHeight="1" x14ac:dyDescent="0.25">
      <c r="A24" s="62">
        <v>1950</v>
      </c>
      <c r="B24" s="62">
        <v>12</v>
      </c>
      <c r="C24" s="51">
        <f t="shared" si="0"/>
        <v>34.091666666666661</v>
      </c>
      <c r="D24" s="51">
        <f t="shared" si="1"/>
        <v>409.09999999999997</v>
      </c>
      <c r="E24" s="49">
        <v>1707.4</v>
      </c>
      <c r="F24" s="49">
        <f t="shared" si="2"/>
        <v>50.082620386213648</v>
      </c>
      <c r="G24" s="52">
        <f t="shared" si="3"/>
        <v>1.9967006364452769E-2</v>
      </c>
      <c r="H24" s="98"/>
      <c r="I24" s="49">
        <v>35</v>
      </c>
      <c r="J24" s="49">
        <v>34</v>
      </c>
      <c r="K24" s="49">
        <v>32.6</v>
      </c>
      <c r="L24" s="49">
        <v>31</v>
      </c>
      <c r="M24" s="49">
        <v>29.6</v>
      </c>
      <c r="N24" s="49">
        <v>35</v>
      </c>
      <c r="O24" s="49">
        <v>35.1</v>
      </c>
      <c r="P24" s="49">
        <v>40</v>
      </c>
      <c r="Q24" s="49">
        <v>40</v>
      </c>
      <c r="R24" s="49">
        <v>40</v>
      </c>
      <c r="S24" s="49">
        <v>14.6</v>
      </c>
      <c r="T24" s="49">
        <v>42.2</v>
      </c>
    </row>
    <row r="25" spans="1:20" s="53" customFormat="1" ht="15.75" customHeight="1" x14ac:dyDescent="0.25">
      <c r="A25" s="62">
        <v>1951</v>
      </c>
      <c r="B25" s="62">
        <v>12</v>
      </c>
      <c r="C25" s="51">
        <f t="shared" si="0"/>
        <v>35.783333333333331</v>
      </c>
      <c r="D25" s="51">
        <f t="shared" si="1"/>
        <v>429.4</v>
      </c>
      <c r="E25" s="49">
        <v>1707.4</v>
      </c>
      <c r="F25" s="49">
        <f t="shared" si="2"/>
        <v>47.714951094550543</v>
      </c>
      <c r="G25" s="52">
        <f t="shared" si="3"/>
        <v>2.0957791573933075E-2</v>
      </c>
      <c r="H25" s="98"/>
      <c r="I25" s="49">
        <v>45</v>
      </c>
      <c r="J25" s="49">
        <v>45</v>
      </c>
      <c r="K25" s="49">
        <v>45</v>
      </c>
      <c r="L25" s="49">
        <v>45</v>
      </c>
      <c r="M25" s="49">
        <v>45</v>
      </c>
      <c r="N25" s="49">
        <v>45</v>
      </c>
      <c r="O25" s="49">
        <v>38.9</v>
      </c>
      <c r="P25" s="49">
        <v>31.9</v>
      </c>
      <c r="Q25" s="49">
        <v>31</v>
      </c>
      <c r="R25" s="49">
        <v>31</v>
      </c>
      <c r="S25" s="49">
        <v>4.0999999999999996</v>
      </c>
      <c r="T25" s="49">
        <v>22.5</v>
      </c>
    </row>
    <row r="26" spans="1:20" s="53" customFormat="1" ht="15.75" customHeight="1" x14ac:dyDescent="0.25">
      <c r="A26" s="62">
        <v>1952</v>
      </c>
      <c r="B26" s="62">
        <v>12</v>
      </c>
      <c r="C26" s="51">
        <f t="shared" si="0"/>
        <v>45.208333333333336</v>
      </c>
      <c r="D26" s="51">
        <f t="shared" si="1"/>
        <v>542.5</v>
      </c>
      <c r="E26" s="49">
        <v>1707.4</v>
      </c>
      <c r="F26" s="49">
        <f t="shared" si="2"/>
        <v>37.767373271889404</v>
      </c>
      <c r="G26" s="52">
        <f t="shared" si="3"/>
        <v>2.6477880598180469E-2</v>
      </c>
      <c r="H26" s="98"/>
      <c r="I26" s="49">
        <v>50</v>
      </c>
      <c r="J26" s="49">
        <v>50</v>
      </c>
      <c r="K26" s="49">
        <v>50</v>
      </c>
      <c r="L26" s="49">
        <v>50</v>
      </c>
      <c r="M26" s="49">
        <v>50</v>
      </c>
      <c r="N26" s="49">
        <v>50</v>
      </c>
      <c r="O26" s="49">
        <v>42.5</v>
      </c>
      <c r="P26" s="49">
        <v>40</v>
      </c>
      <c r="Q26" s="49">
        <v>40</v>
      </c>
      <c r="R26" s="49">
        <v>40</v>
      </c>
      <c r="S26" s="49">
        <v>40</v>
      </c>
      <c r="T26" s="49">
        <v>40</v>
      </c>
    </row>
    <row r="27" spans="1:20" s="53" customFormat="1" ht="15.75" customHeight="1" x14ac:dyDescent="0.25">
      <c r="A27" s="62">
        <v>1953</v>
      </c>
      <c r="B27" s="62">
        <v>12</v>
      </c>
      <c r="C27" s="51">
        <f t="shared" si="0"/>
        <v>43.716666666666669</v>
      </c>
      <c r="D27" s="51">
        <f t="shared" si="1"/>
        <v>524.6</v>
      </c>
      <c r="E27" s="49">
        <v>1707.4</v>
      </c>
      <c r="F27" s="49">
        <f t="shared" si="2"/>
        <v>39.056042699199388</v>
      </c>
      <c r="G27" s="52">
        <f t="shared" si="3"/>
        <v>2.5604232556323454E-2</v>
      </c>
      <c r="H27" s="98"/>
      <c r="I27" s="49">
        <v>42.9</v>
      </c>
      <c r="J27" s="49">
        <v>43</v>
      </c>
      <c r="K27" s="49">
        <v>42.9</v>
      </c>
      <c r="L27" s="49">
        <v>42</v>
      </c>
      <c r="M27" s="49">
        <v>42</v>
      </c>
      <c r="N27" s="49">
        <v>42</v>
      </c>
      <c r="O27" s="49">
        <v>42</v>
      </c>
      <c r="P27" s="49">
        <v>42</v>
      </c>
      <c r="Q27" s="49">
        <v>42</v>
      </c>
      <c r="R27" s="49">
        <v>41.8</v>
      </c>
      <c r="S27" s="49">
        <v>47</v>
      </c>
      <c r="T27" s="49">
        <v>55</v>
      </c>
    </row>
    <row r="28" spans="1:20" s="53" customFormat="1" ht="15.75" customHeight="1" x14ac:dyDescent="0.25">
      <c r="A28" s="62">
        <v>1954</v>
      </c>
      <c r="B28" s="62">
        <v>12</v>
      </c>
      <c r="C28" s="51">
        <f t="shared" si="0"/>
        <v>58.25</v>
      </c>
      <c r="D28" s="51">
        <f t="shared" si="1"/>
        <v>699</v>
      </c>
      <c r="E28" s="49">
        <v>1707.4</v>
      </c>
      <c r="F28" s="49">
        <f t="shared" si="2"/>
        <v>29.31158798283262</v>
      </c>
      <c r="G28" s="52">
        <f t="shared" si="3"/>
        <v>3.41162000702823E-2</v>
      </c>
      <c r="H28" s="98"/>
      <c r="I28" s="49">
        <v>55</v>
      </c>
      <c r="J28" s="49">
        <v>55</v>
      </c>
      <c r="K28" s="49">
        <v>58</v>
      </c>
      <c r="L28" s="49">
        <v>58</v>
      </c>
      <c r="M28" s="49">
        <v>58</v>
      </c>
      <c r="N28" s="49">
        <v>57.1</v>
      </c>
      <c r="O28" s="49">
        <v>57.4</v>
      </c>
      <c r="P28" s="49">
        <v>58</v>
      </c>
      <c r="Q28" s="49">
        <v>58</v>
      </c>
      <c r="R28" s="49">
        <v>52.5</v>
      </c>
      <c r="S28" s="49">
        <v>63</v>
      </c>
      <c r="T28" s="49">
        <v>69</v>
      </c>
    </row>
    <row r="29" spans="1:20" s="53" customFormat="1" ht="15.75" customHeight="1" x14ac:dyDescent="0.25">
      <c r="A29" s="62">
        <v>1955</v>
      </c>
      <c r="B29" s="62">
        <v>12</v>
      </c>
      <c r="C29" s="51">
        <f t="shared" si="0"/>
        <v>71.808333333333337</v>
      </c>
      <c r="D29" s="51">
        <f t="shared" si="1"/>
        <v>861.7</v>
      </c>
      <c r="E29" s="49">
        <v>1707.4</v>
      </c>
      <c r="F29" s="49">
        <f t="shared" si="2"/>
        <v>23.77718463502379</v>
      </c>
      <c r="G29" s="52">
        <f t="shared" si="3"/>
        <v>4.2057123892077622E-2</v>
      </c>
      <c r="H29" s="98"/>
      <c r="I29" s="49">
        <v>69</v>
      </c>
      <c r="J29" s="49">
        <v>69</v>
      </c>
      <c r="K29" s="49">
        <v>75.5</v>
      </c>
      <c r="L29" s="49">
        <v>76</v>
      </c>
      <c r="M29" s="49">
        <v>76</v>
      </c>
      <c r="N29" s="49">
        <v>76</v>
      </c>
      <c r="O29" s="49">
        <v>76</v>
      </c>
      <c r="P29" s="49">
        <v>76</v>
      </c>
      <c r="Q29" s="49">
        <v>75.2</v>
      </c>
      <c r="R29" s="49">
        <v>73</v>
      </c>
      <c r="S29" s="49">
        <v>60</v>
      </c>
      <c r="T29" s="49">
        <v>60</v>
      </c>
    </row>
    <row r="30" spans="1:20" s="53" customFormat="1" ht="15.75" customHeight="1" x14ac:dyDescent="0.25">
      <c r="A30" s="62">
        <v>1956</v>
      </c>
      <c r="B30" s="62">
        <v>12</v>
      </c>
      <c r="C30" s="51">
        <f t="shared" si="0"/>
        <v>53.833333333333336</v>
      </c>
      <c r="D30" s="51">
        <f t="shared" si="1"/>
        <v>646</v>
      </c>
      <c r="E30" s="49">
        <v>1707.4</v>
      </c>
      <c r="F30" s="49">
        <f t="shared" si="2"/>
        <v>31.716408668730651</v>
      </c>
      <c r="G30" s="52">
        <f t="shared" si="3"/>
        <v>3.1529420951934714E-2</v>
      </c>
      <c r="H30" s="98"/>
      <c r="I30" s="49">
        <v>60</v>
      </c>
      <c r="J30" s="49">
        <v>60</v>
      </c>
      <c r="K30" s="49">
        <v>68</v>
      </c>
      <c r="L30" s="49">
        <v>62.5</v>
      </c>
      <c r="M30" s="49">
        <v>53</v>
      </c>
      <c r="N30" s="49">
        <v>53</v>
      </c>
      <c r="O30" s="49">
        <v>53</v>
      </c>
      <c r="P30" s="49">
        <v>53</v>
      </c>
      <c r="Q30" s="49">
        <v>53</v>
      </c>
      <c r="R30" s="49">
        <v>50.5</v>
      </c>
      <c r="S30" s="49">
        <v>40</v>
      </c>
      <c r="T30" s="49">
        <v>40</v>
      </c>
    </row>
    <row r="31" spans="1:20" s="53" customFormat="1" ht="15.75" customHeight="1" x14ac:dyDescent="0.25">
      <c r="A31" s="62">
        <v>1957</v>
      </c>
      <c r="B31" s="62">
        <v>12</v>
      </c>
      <c r="C31" s="51">
        <f t="shared" si="0"/>
        <v>45.158333333333331</v>
      </c>
      <c r="D31" s="51">
        <f t="shared" si="1"/>
        <v>541.9</v>
      </c>
      <c r="E31" s="49">
        <v>1707.4</v>
      </c>
      <c r="F31" s="49">
        <f t="shared" si="2"/>
        <v>37.809189887433106</v>
      </c>
      <c r="G31" s="52">
        <f t="shared" si="3"/>
        <v>2.6448596306274646E-2</v>
      </c>
      <c r="H31" s="98"/>
      <c r="I31" s="49">
        <v>40</v>
      </c>
      <c r="J31" s="49">
        <v>39.5</v>
      </c>
      <c r="K31" s="49">
        <v>44</v>
      </c>
      <c r="L31" s="49">
        <v>44.9</v>
      </c>
      <c r="M31" s="49">
        <v>45</v>
      </c>
      <c r="N31" s="49">
        <v>45</v>
      </c>
      <c r="O31" s="49">
        <v>45</v>
      </c>
      <c r="P31" s="49">
        <v>43.5</v>
      </c>
      <c r="Q31" s="49">
        <v>45</v>
      </c>
      <c r="R31" s="49">
        <v>50</v>
      </c>
      <c r="S31" s="49">
        <v>50</v>
      </c>
      <c r="T31" s="49">
        <v>50</v>
      </c>
    </row>
    <row r="32" spans="1:20" s="53" customFormat="1" ht="15.75" customHeight="1" x14ac:dyDescent="0.25">
      <c r="A32" s="62">
        <v>1958</v>
      </c>
      <c r="B32" s="62">
        <v>12</v>
      </c>
      <c r="C32" s="51">
        <f t="shared" si="0"/>
        <v>54.824999999999996</v>
      </c>
      <c r="D32" s="51">
        <f t="shared" si="1"/>
        <v>657.9</v>
      </c>
      <c r="E32" s="49">
        <v>1707.4</v>
      </c>
      <c r="F32" s="49">
        <f t="shared" si="2"/>
        <v>31.142726858185139</v>
      </c>
      <c r="G32" s="52">
        <f t="shared" si="3"/>
        <v>3.211022607473351E-2</v>
      </c>
      <c r="H32" s="98"/>
      <c r="I32" s="49">
        <v>50</v>
      </c>
      <c r="J32" s="49">
        <v>50</v>
      </c>
      <c r="K32" s="49">
        <v>54</v>
      </c>
      <c r="L32" s="49">
        <v>54</v>
      </c>
      <c r="M32" s="49">
        <v>54</v>
      </c>
      <c r="N32" s="49">
        <v>54</v>
      </c>
      <c r="O32" s="49">
        <v>54</v>
      </c>
      <c r="P32" s="49">
        <v>54</v>
      </c>
      <c r="Q32" s="49">
        <v>54</v>
      </c>
      <c r="R32" s="49">
        <v>54</v>
      </c>
      <c r="S32" s="49">
        <v>60.9</v>
      </c>
      <c r="T32" s="49">
        <v>65</v>
      </c>
    </row>
    <row r="33" spans="1:20" s="53" customFormat="1" ht="15.75" customHeight="1" x14ac:dyDescent="0.25">
      <c r="A33" s="62">
        <v>1959</v>
      </c>
      <c r="B33" s="62">
        <v>12</v>
      </c>
      <c r="C33" s="51">
        <f t="shared" si="0"/>
        <v>66.791666666666671</v>
      </c>
      <c r="D33" s="51">
        <f t="shared" si="1"/>
        <v>801.5</v>
      </c>
      <c r="E33" s="49">
        <v>1707.4</v>
      </c>
      <c r="F33" s="49">
        <f t="shared" si="2"/>
        <v>25.563069245165316</v>
      </c>
      <c r="G33" s="52">
        <f t="shared" si="3"/>
        <v>3.9118933270860176E-2</v>
      </c>
      <c r="H33" s="98"/>
      <c r="I33" s="49">
        <v>65</v>
      </c>
      <c r="J33" s="49">
        <v>65</v>
      </c>
      <c r="K33" s="49">
        <v>69.900000000000006</v>
      </c>
      <c r="L33" s="49">
        <v>70</v>
      </c>
      <c r="M33" s="49">
        <v>70</v>
      </c>
      <c r="N33" s="49">
        <v>70</v>
      </c>
      <c r="O33" s="49">
        <v>70</v>
      </c>
      <c r="P33" s="49">
        <v>70</v>
      </c>
      <c r="Q33" s="49">
        <v>70</v>
      </c>
      <c r="R33" s="49">
        <v>62.1</v>
      </c>
      <c r="S33" s="49">
        <v>58.5</v>
      </c>
      <c r="T33" s="49">
        <v>61</v>
      </c>
    </row>
    <row r="34" spans="1:20" s="53" customFormat="1" ht="15.75" customHeight="1" x14ac:dyDescent="0.25">
      <c r="A34" s="62">
        <v>1960</v>
      </c>
      <c r="B34" s="62">
        <v>12</v>
      </c>
      <c r="C34" s="51">
        <f t="shared" si="0"/>
        <v>61.533333333333331</v>
      </c>
      <c r="D34" s="51">
        <f t="shared" si="1"/>
        <v>738.4</v>
      </c>
      <c r="E34" s="49">
        <v>1707.4</v>
      </c>
      <c r="F34" s="49">
        <f t="shared" si="2"/>
        <v>27.747562296858074</v>
      </c>
      <c r="G34" s="52">
        <f t="shared" si="3"/>
        <v>3.6039201905431258E-2</v>
      </c>
      <c r="H34" s="98"/>
      <c r="I34" s="49">
        <v>68.099999999999994</v>
      </c>
      <c r="J34" s="49">
        <v>68.3</v>
      </c>
      <c r="K34" s="49">
        <v>71.3</v>
      </c>
      <c r="L34" s="49">
        <v>66.2</v>
      </c>
      <c r="M34" s="49">
        <v>65</v>
      </c>
      <c r="N34" s="49">
        <v>65</v>
      </c>
      <c r="O34" s="49">
        <v>65</v>
      </c>
      <c r="P34" s="49">
        <v>65</v>
      </c>
      <c r="Q34" s="49">
        <v>65</v>
      </c>
      <c r="R34" s="49">
        <v>59.5</v>
      </c>
      <c r="S34" s="49">
        <v>40</v>
      </c>
      <c r="T34" s="49">
        <v>40</v>
      </c>
    </row>
    <row r="35" spans="1:20" s="53" customFormat="1" ht="15.75" customHeight="1" x14ac:dyDescent="0.25">
      <c r="A35" s="62">
        <v>1961</v>
      </c>
      <c r="B35" s="62">
        <v>12</v>
      </c>
      <c r="C35" s="51">
        <f t="shared" si="0"/>
        <v>38.774999999999999</v>
      </c>
      <c r="D35" s="51">
        <f t="shared" si="1"/>
        <v>465.3</v>
      </c>
      <c r="E35" s="49">
        <v>1707.4</v>
      </c>
      <c r="F35" s="49">
        <f t="shared" si="2"/>
        <v>44.033526756931018</v>
      </c>
      <c r="G35" s="52">
        <f t="shared" si="3"/>
        <v>2.2709968372964739E-2</v>
      </c>
      <c r="H35" s="98"/>
      <c r="I35" s="49">
        <v>40</v>
      </c>
      <c r="J35" s="49">
        <v>40.1</v>
      </c>
      <c r="K35" s="49">
        <v>43</v>
      </c>
      <c r="L35" s="49">
        <v>43</v>
      </c>
      <c r="M35" s="49">
        <v>43</v>
      </c>
      <c r="N35" s="49">
        <v>43</v>
      </c>
      <c r="O35" s="49">
        <v>43</v>
      </c>
      <c r="P35" s="49">
        <v>43</v>
      </c>
      <c r="Q35" s="49">
        <v>43</v>
      </c>
      <c r="R35" s="49">
        <v>34.200000000000003</v>
      </c>
      <c r="S35" s="49">
        <v>25</v>
      </c>
      <c r="T35" s="49">
        <v>25</v>
      </c>
    </row>
    <row r="36" spans="1:20" s="53" customFormat="1" ht="15.75" customHeight="1" x14ac:dyDescent="0.25">
      <c r="A36" s="62">
        <v>1962</v>
      </c>
      <c r="B36" s="62">
        <v>12</v>
      </c>
      <c r="C36" s="51">
        <f t="shared" si="0"/>
        <v>27.758333333333336</v>
      </c>
      <c r="D36" s="51">
        <f t="shared" si="1"/>
        <v>333.1</v>
      </c>
      <c r="E36" s="49">
        <v>1707.4</v>
      </c>
      <c r="F36" s="49">
        <f t="shared" si="2"/>
        <v>61.509456619633738</v>
      </c>
      <c r="G36" s="52">
        <f t="shared" si="3"/>
        <v>1.6257662723048689E-2</v>
      </c>
      <c r="H36" s="98"/>
      <c r="I36" s="49">
        <v>25</v>
      </c>
      <c r="J36" s="49">
        <v>25</v>
      </c>
      <c r="K36" s="49">
        <v>27</v>
      </c>
      <c r="L36" s="49">
        <v>27</v>
      </c>
      <c r="M36" s="49">
        <v>26.4</v>
      </c>
      <c r="N36" s="49">
        <v>24</v>
      </c>
      <c r="O36" s="49">
        <v>26.8</v>
      </c>
      <c r="P36" s="49">
        <v>27</v>
      </c>
      <c r="Q36" s="49">
        <v>27</v>
      </c>
      <c r="R36" s="49">
        <v>26.2</v>
      </c>
      <c r="S36" s="49">
        <v>35.700000000000003</v>
      </c>
      <c r="T36" s="49">
        <v>36</v>
      </c>
    </row>
    <row r="37" spans="1:20" s="53" customFormat="1" ht="15.75" customHeight="1" x14ac:dyDescent="0.25">
      <c r="A37" s="62">
        <v>1963</v>
      </c>
      <c r="B37" s="62">
        <v>12</v>
      </c>
      <c r="C37" s="51">
        <f t="shared" si="0"/>
        <v>36.958333333333336</v>
      </c>
      <c r="D37" s="51">
        <f t="shared" si="1"/>
        <v>443.5</v>
      </c>
      <c r="E37" s="49">
        <v>1707.4</v>
      </c>
      <c r="F37" s="49">
        <f t="shared" si="2"/>
        <v>46.197970687711383</v>
      </c>
      <c r="G37" s="52">
        <f t="shared" si="3"/>
        <v>2.1645972433719886E-2</v>
      </c>
      <c r="H37" s="98"/>
      <c r="I37" s="49">
        <v>36</v>
      </c>
      <c r="J37" s="49">
        <v>36</v>
      </c>
      <c r="K37" s="49">
        <v>39</v>
      </c>
      <c r="L37" s="49">
        <v>39.4</v>
      </c>
      <c r="M37" s="49">
        <v>40</v>
      </c>
      <c r="N37" s="49">
        <v>40</v>
      </c>
      <c r="O37" s="49">
        <v>40</v>
      </c>
      <c r="P37" s="49">
        <v>40</v>
      </c>
      <c r="Q37" s="49">
        <v>40</v>
      </c>
      <c r="R37" s="49">
        <v>39.799999999999997</v>
      </c>
      <c r="S37" s="49">
        <v>25.2</v>
      </c>
      <c r="T37" s="49">
        <v>28.1</v>
      </c>
    </row>
    <row r="38" spans="1:20" s="53" customFormat="1" ht="15.75" customHeight="1" x14ac:dyDescent="0.25">
      <c r="A38" s="62">
        <v>1964</v>
      </c>
      <c r="B38" s="62">
        <v>12</v>
      </c>
      <c r="C38" s="51">
        <f t="shared" si="0"/>
        <v>30.25</v>
      </c>
      <c r="D38" s="51">
        <f t="shared" si="1"/>
        <v>363</v>
      </c>
      <c r="E38" s="49">
        <v>1707.4</v>
      </c>
      <c r="F38" s="49">
        <f t="shared" si="2"/>
        <v>56.442975206611571</v>
      </c>
      <c r="G38" s="52">
        <f t="shared" si="3"/>
        <v>1.7716996603022138E-2</v>
      </c>
      <c r="H38" s="98"/>
      <c r="I38" s="49">
        <v>30</v>
      </c>
      <c r="J38" s="49">
        <v>30</v>
      </c>
      <c r="K38" s="49">
        <v>33</v>
      </c>
      <c r="L38" s="49">
        <v>33</v>
      </c>
      <c r="M38" s="49">
        <v>33</v>
      </c>
      <c r="N38" s="49">
        <v>33</v>
      </c>
      <c r="O38" s="49">
        <v>33</v>
      </c>
      <c r="P38" s="49">
        <v>33</v>
      </c>
      <c r="Q38" s="49">
        <v>33</v>
      </c>
      <c r="R38" s="49">
        <v>33</v>
      </c>
      <c r="S38" s="49">
        <v>9</v>
      </c>
      <c r="T38" s="49">
        <v>30</v>
      </c>
    </row>
    <row r="39" spans="1:20" s="53" customFormat="1" ht="15.75" customHeight="1" x14ac:dyDescent="0.25">
      <c r="A39" s="62">
        <v>1965</v>
      </c>
      <c r="B39" s="62">
        <v>12</v>
      </c>
      <c r="C39" s="51">
        <f t="shared" si="0"/>
        <v>31.308333333333337</v>
      </c>
      <c r="D39" s="51">
        <f t="shared" si="1"/>
        <v>375.70000000000005</v>
      </c>
      <c r="E39" s="49">
        <v>1707.4</v>
      </c>
      <c r="F39" s="49">
        <f t="shared" si="2"/>
        <v>54.535001330849077</v>
      </c>
      <c r="G39" s="52">
        <f t="shared" si="3"/>
        <v>1.8336847448362035E-2</v>
      </c>
      <c r="H39" s="98"/>
      <c r="I39" s="49">
        <v>31.2</v>
      </c>
      <c r="J39" s="49">
        <v>31.2</v>
      </c>
      <c r="K39" s="49">
        <v>33.700000000000003</v>
      </c>
      <c r="L39" s="49">
        <v>34.200000000000003</v>
      </c>
      <c r="M39" s="49">
        <v>33.9</v>
      </c>
      <c r="N39" s="49">
        <v>33</v>
      </c>
      <c r="O39" s="49">
        <v>33</v>
      </c>
      <c r="P39" s="49">
        <v>33</v>
      </c>
      <c r="Q39" s="49">
        <v>33</v>
      </c>
      <c r="R39" s="49">
        <v>33</v>
      </c>
      <c r="S39" s="49">
        <v>27.9</v>
      </c>
      <c r="T39" s="49">
        <v>18.600000000000001</v>
      </c>
    </row>
    <row r="40" spans="1:20" s="53" customFormat="1" ht="15.75" customHeight="1" x14ac:dyDescent="0.25">
      <c r="A40" s="62">
        <v>1966</v>
      </c>
      <c r="B40" s="62">
        <v>12</v>
      </c>
      <c r="C40" s="51">
        <f t="shared" si="0"/>
        <v>24.591666666666669</v>
      </c>
      <c r="D40" s="51">
        <f t="shared" si="1"/>
        <v>295.10000000000002</v>
      </c>
      <c r="E40" s="49">
        <v>1707.4</v>
      </c>
      <c r="F40" s="49">
        <f t="shared" si="2"/>
        <v>69.430023720772624</v>
      </c>
      <c r="G40" s="52">
        <f t="shared" si="3"/>
        <v>1.4402990902346648E-2</v>
      </c>
      <c r="H40" s="98"/>
      <c r="I40" s="49">
        <v>25</v>
      </c>
      <c r="J40" s="49">
        <v>25</v>
      </c>
      <c r="K40" s="49">
        <v>27</v>
      </c>
      <c r="L40" s="49">
        <v>27</v>
      </c>
      <c r="M40" s="49">
        <v>26.8</v>
      </c>
      <c r="N40" s="49">
        <v>26.9</v>
      </c>
      <c r="O40" s="49">
        <v>27</v>
      </c>
      <c r="P40" s="49">
        <v>27</v>
      </c>
      <c r="Q40" s="49">
        <v>28</v>
      </c>
      <c r="R40" s="49">
        <v>27</v>
      </c>
      <c r="S40" s="49">
        <v>5.4</v>
      </c>
      <c r="T40" s="49">
        <v>23</v>
      </c>
    </row>
    <row r="41" spans="1:20" s="53" customFormat="1" ht="15.75" customHeight="1" x14ac:dyDescent="0.25">
      <c r="A41" s="62">
        <v>1967</v>
      </c>
      <c r="B41" s="62">
        <v>12</v>
      </c>
      <c r="C41" s="51">
        <f t="shared" si="0"/>
        <v>33.241666666666667</v>
      </c>
      <c r="D41" s="51">
        <f t="shared" si="1"/>
        <v>398.90000000000003</v>
      </c>
      <c r="E41" s="49">
        <v>1707.4</v>
      </c>
      <c r="F41" s="49">
        <f t="shared" si="2"/>
        <v>51.363248934570066</v>
      </c>
      <c r="G41" s="52">
        <f t="shared" si="3"/>
        <v>1.9469173402053803E-2</v>
      </c>
      <c r="H41" s="98"/>
      <c r="I41" s="49">
        <v>34</v>
      </c>
      <c r="J41" s="49">
        <v>34</v>
      </c>
      <c r="K41" s="49">
        <v>34</v>
      </c>
      <c r="L41" s="49">
        <v>35.799999999999997</v>
      </c>
      <c r="M41" s="49">
        <v>36</v>
      </c>
      <c r="N41" s="49">
        <v>36</v>
      </c>
      <c r="O41" s="49">
        <v>36</v>
      </c>
      <c r="P41" s="49">
        <v>36</v>
      </c>
      <c r="Q41" s="49">
        <v>36</v>
      </c>
      <c r="R41" s="49">
        <v>36</v>
      </c>
      <c r="S41" s="49">
        <v>23.5</v>
      </c>
      <c r="T41" s="49">
        <v>21.6</v>
      </c>
    </row>
    <row r="42" spans="1:20" s="53" customFormat="1" ht="15.75" customHeight="1" x14ac:dyDescent="0.25">
      <c r="A42" s="62">
        <v>1968</v>
      </c>
      <c r="B42" s="62">
        <v>12</v>
      </c>
      <c r="C42" s="51">
        <f t="shared" si="0"/>
        <v>32.583333333333336</v>
      </c>
      <c r="D42" s="51">
        <f t="shared" si="1"/>
        <v>391</v>
      </c>
      <c r="E42" s="49">
        <v>1707.4</v>
      </c>
      <c r="F42" s="49">
        <f t="shared" si="2"/>
        <v>52.401023017902816</v>
      </c>
      <c r="G42" s="52">
        <f t="shared" si="3"/>
        <v>1.9083596891960486E-2</v>
      </c>
      <c r="H42" s="98"/>
      <c r="I42" s="49">
        <v>39</v>
      </c>
      <c r="J42" s="49">
        <v>39</v>
      </c>
      <c r="K42" s="49">
        <v>40.5</v>
      </c>
      <c r="L42" s="49">
        <v>41</v>
      </c>
      <c r="M42" s="49">
        <v>41</v>
      </c>
      <c r="N42" s="49">
        <v>41</v>
      </c>
      <c r="O42" s="49">
        <v>41</v>
      </c>
      <c r="P42" s="49">
        <v>41</v>
      </c>
      <c r="Q42" s="49">
        <v>41</v>
      </c>
      <c r="R42" s="49">
        <v>26.5</v>
      </c>
      <c r="S42" s="49">
        <v>0</v>
      </c>
      <c r="T42" s="49">
        <v>0</v>
      </c>
    </row>
    <row r="43" spans="1:20" s="53" customFormat="1" ht="15.75" customHeight="1" x14ac:dyDescent="0.25">
      <c r="A43" s="62">
        <v>1969</v>
      </c>
      <c r="B43" s="62">
        <v>12</v>
      </c>
      <c r="C43" s="51">
        <f t="shared" si="0"/>
        <v>0</v>
      </c>
      <c r="D43" s="51">
        <f t="shared" si="1"/>
        <v>0</v>
      </c>
      <c r="E43" s="49">
        <v>1707.4</v>
      </c>
      <c r="F43" s="49" t="e">
        <f t="shared" si="2"/>
        <v>#DIV/0!</v>
      </c>
      <c r="G43" s="52">
        <f t="shared" si="3"/>
        <v>0</v>
      </c>
      <c r="H43" s="98"/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</row>
    <row r="44" spans="1:20" s="53" customFormat="1" ht="15.75" customHeight="1" x14ac:dyDescent="0.25">
      <c r="A44" s="62">
        <v>1970</v>
      </c>
      <c r="B44" s="62">
        <v>12</v>
      </c>
      <c r="C44" s="51">
        <f t="shared" si="0"/>
        <v>0</v>
      </c>
      <c r="D44" s="51">
        <f t="shared" si="1"/>
        <v>0</v>
      </c>
      <c r="E44" s="49">
        <v>1707.4</v>
      </c>
      <c r="F44" s="49" t="e">
        <f t="shared" si="2"/>
        <v>#DIV/0!</v>
      </c>
      <c r="G44" s="52">
        <f t="shared" si="3"/>
        <v>0</v>
      </c>
      <c r="H44" s="98"/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</row>
    <row r="45" spans="1:20" s="53" customFormat="1" ht="15.75" customHeight="1" x14ac:dyDescent="0.25">
      <c r="A45" s="62">
        <v>1971</v>
      </c>
      <c r="B45" s="62">
        <v>12</v>
      </c>
      <c r="C45" s="51">
        <f t="shared" si="0"/>
        <v>0</v>
      </c>
      <c r="D45" s="51">
        <f t="shared" si="1"/>
        <v>0</v>
      </c>
      <c r="E45" s="49">
        <v>1707.4</v>
      </c>
      <c r="F45" s="49" t="e">
        <f t="shared" si="2"/>
        <v>#DIV/0!</v>
      </c>
      <c r="G45" s="52">
        <f t="shared" si="3"/>
        <v>0</v>
      </c>
      <c r="H45" s="98"/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</row>
    <row r="46" spans="1:20" s="53" customFormat="1" ht="15.75" customHeight="1" x14ac:dyDescent="0.25">
      <c r="A46" s="62">
        <v>1972</v>
      </c>
      <c r="B46" s="62">
        <v>12</v>
      </c>
      <c r="C46" s="51">
        <f t="shared" si="0"/>
        <v>0</v>
      </c>
      <c r="D46" s="51">
        <f t="shared" si="1"/>
        <v>0</v>
      </c>
      <c r="E46" s="49">
        <v>1707.4</v>
      </c>
      <c r="F46" s="49" t="e">
        <f t="shared" si="2"/>
        <v>#DIV/0!</v>
      </c>
      <c r="G46" s="52">
        <f t="shared" si="3"/>
        <v>0</v>
      </c>
      <c r="H46" s="98"/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</row>
    <row r="47" spans="1:20" s="53" customFormat="1" ht="15.75" customHeight="1" x14ac:dyDescent="0.25">
      <c r="A47" s="62">
        <v>1973</v>
      </c>
      <c r="B47" s="62">
        <v>12</v>
      </c>
      <c r="C47" s="51">
        <f t="shared" si="0"/>
        <v>0</v>
      </c>
      <c r="D47" s="51">
        <f t="shared" si="1"/>
        <v>0</v>
      </c>
      <c r="E47" s="49">
        <v>1707.4</v>
      </c>
      <c r="F47" s="49" t="e">
        <f t="shared" si="2"/>
        <v>#DIV/0!</v>
      </c>
      <c r="G47" s="52">
        <f t="shared" si="3"/>
        <v>0</v>
      </c>
      <c r="H47" s="98"/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/>
      <c r="P47" s="49"/>
      <c r="Q47" s="49"/>
      <c r="R47" s="49"/>
      <c r="S47" s="49"/>
      <c r="T47" s="49"/>
    </row>
    <row r="48" spans="1:20" s="53" customFormat="1" ht="15.75" customHeight="1" x14ac:dyDescent="0.25">
      <c r="A48" s="62">
        <v>1974</v>
      </c>
      <c r="B48" s="62"/>
      <c r="C48" s="51"/>
      <c r="D48" s="51"/>
      <c r="E48" s="49">
        <v>1707.4</v>
      </c>
      <c r="F48" s="49"/>
      <c r="G48" s="52"/>
      <c r="H48" s="98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s="53" customFormat="1" ht="15.75" customHeight="1" x14ac:dyDescent="0.25">
      <c r="A49" s="62">
        <v>1975</v>
      </c>
      <c r="B49" s="62">
        <v>12</v>
      </c>
      <c r="C49" s="51">
        <f t="shared" si="0"/>
        <v>4.166666666666667</v>
      </c>
      <c r="D49" s="51">
        <f t="shared" si="1"/>
        <v>50</v>
      </c>
      <c r="E49" s="49">
        <v>1707.4</v>
      </c>
      <c r="F49" s="49">
        <f t="shared" si="2"/>
        <v>409.77600000000001</v>
      </c>
      <c r="G49" s="52">
        <f t="shared" si="3"/>
        <v>2.4403576588184765E-3</v>
      </c>
      <c r="H49" s="98"/>
      <c r="I49" s="49"/>
      <c r="J49" s="49"/>
      <c r="K49" s="49"/>
      <c r="L49" s="49"/>
      <c r="M49" s="49"/>
      <c r="N49" s="49"/>
      <c r="O49" s="49">
        <v>0</v>
      </c>
      <c r="P49" s="49">
        <v>0</v>
      </c>
      <c r="Q49" s="49">
        <v>0</v>
      </c>
      <c r="R49" s="49">
        <v>0</v>
      </c>
      <c r="S49" s="49">
        <v>25</v>
      </c>
      <c r="T49" s="49">
        <v>25</v>
      </c>
    </row>
    <row r="50" spans="1:20" s="53" customFormat="1" ht="15.75" customHeight="1" x14ac:dyDescent="0.25">
      <c r="A50" s="62">
        <v>1976</v>
      </c>
      <c r="B50" s="62">
        <v>12</v>
      </c>
      <c r="C50" s="51">
        <f t="shared" si="0"/>
        <v>12.841666666666667</v>
      </c>
      <c r="D50" s="51">
        <f t="shared" si="1"/>
        <v>154.1</v>
      </c>
      <c r="E50" s="49">
        <v>1707.4</v>
      </c>
      <c r="F50" s="49">
        <f t="shared" si="2"/>
        <v>132.95781959766387</v>
      </c>
      <c r="G50" s="52">
        <f t="shared" si="3"/>
        <v>7.5211823044785443E-3</v>
      </c>
      <c r="H50" s="98"/>
      <c r="I50" s="49">
        <v>25</v>
      </c>
      <c r="J50" s="49">
        <v>25</v>
      </c>
      <c r="K50" s="49">
        <v>25.9</v>
      </c>
      <c r="L50" s="49">
        <v>26</v>
      </c>
      <c r="M50" s="49">
        <v>26.2</v>
      </c>
      <c r="N50" s="49">
        <v>26</v>
      </c>
      <c r="O50" s="49"/>
      <c r="P50" s="49"/>
      <c r="Q50" s="49"/>
      <c r="R50" s="49"/>
      <c r="S50" s="49"/>
      <c r="T50" s="49"/>
    </row>
    <row r="51" spans="1:20" s="53" customFormat="1" ht="15.75" customHeight="1" x14ac:dyDescent="0.25">
      <c r="A51" s="62">
        <v>1977</v>
      </c>
      <c r="B51" s="62"/>
      <c r="C51" s="51"/>
      <c r="D51" s="51"/>
      <c r="E51" s="49">
        <v>1707.4</v>
      </c>
      <c r="F51" s="49"/>
      <c r="G51" s="52"/>
      <c r="H51" s="98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  <row r="52" spans="1:20" s="53" customFormat="1" ht="15.75" customHeight="1" x14ac:dyDescent="0.25">
      <c r="A52" s="62">
        <v>1978</v>
      </c>
      <c r="B52" s="62"/>
      <c r="C52" s="51"/>
      <c r="D52" s="51"/>
      <c r="E52" s="49">
        <v>1707.4</v>
      </c>
      <c r="F52" s="49"/>
      <c r="G52" s="52"/>
      <c r="H52" s="98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s="53" customFormat="1" ht="15.75" customHeight="1" x14ac:dyDescent="0.25">
      <c r="A53" s="62">
        <v>1979</v>
      </c>
      <c r="B53" s="62"/>
      <c r="C53" s="51"/>
      <c r="D53" s="51"/>
      <c r="E53" s="49">
        <v>1707.4</v>
      </c>
      <c r="F53" s="49"/>
      <c r="G53" s="52"/>
      <c r="H53" s="98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s="53" customFormat="1" ht="15.75" customHeight="1" x14ac:dyDescent="0.25">
      <c r="A54" s="62">
        <v>1980</v>
      </c>
      <c r="B54" s="62"/>
      <c r="C54" s="51"/>
      <c r="D54" s="51"/>
      <c r="E54" s="49">
        <v>1707.4</v>
      </c>
      <c r="F54" s="49"/>
      <c r="G54" s="52"/>
      <c r="H54" s="98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0" s="53" customFormat="1" ht="15.75" customHeight="1" x14ac:dyDescent="0.25">
      <c r="A55" s="62">
        <v>1981</v>
      </c>
      <c r="B55" s="62"/>
      <c r="C55" s="51"/>
      <c r="D55" s="51"/>
      <c r="E55" s="49">
        <v>1707.4</v>
      </c>
      <c r="F55" s="49"/>
      <c r="G55" s="52"/>
      <c r="H55" s="9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</row>
    <row r="56" spans="1:20" s="53" customFormat="1" ht="15.75" customHeight="1" x14ac:dyDescent="0.25">
      <c r="A56" s="62">
        <v>1982</v>
      </c>
      <c r="B56" s="62">
        <v>12</v>
      </c>
      <c r="C56" s="51">
        <f t="shared" si="0"/>
        <v>4.166666666666667</v>
      </c>
      <c r="D56" s="51">
        <f t="shared" si="1"/>
        <v>50</v>
      </c>
      <c r="E56" s="49">
        <v>1707.4</v>
      </c>
      <c r="F56" s="49">
        <f t="shared" si="2"/>
        <v>409.77600000000001</v>
      </c>
      <c r="G56" s="52">
        <f t="shared" si="3"/>
        <v>2.4403576588184765E-3</v>
      </c>
      <c r="H56" s="98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>
        <v>25</v>
      </c>
      <c r="T56" s="49">
        <v>25</v>
      </c>
    </row>
    <row r="57" spans="1:20" s="53" customFormat="1" ht="15.75" customHeight="1" x14ac:dyDescent="0.25">
      <c r="A57" s="62">
        <v>1983</v>
      </c>
      <c r="B57" s="62">
        <v>12</v>
      </c>
      <c r="C57" s="51">
        <f t="shared" si="0"/>
        <v>25</v>
      </c>
      <c r="D57" s="51">
        <f t="shared" si="1"/>
        <v>300</v>
      </c>
      <c r="E57" s="49">
        <v>1707.4</v>
      </c>
      <c r="F57" s="49">
        <f t="shared" si="2"/>
        <v>68.296000000000006</v>
      </c>
      <c r="G57" s="52">
        <f t="shared" si="3"/>
        <v>1.4642145952910858E-2</v>
      </c>
      <c r="H57" s="98"/>
      <c r="I57" s="49">
        <v>25</v>
      </c>
      <c r="J57" s="49">
        <v>25</v>
      </c>
      <c r="K57" s="49">
        <v>25</v>
      </c>
      <c r="L57" s="49">
        <v>25</v>
      </c>
      <c r="M57" s="49">
        <v>25</v>
      </c>
      <c r="N57" s="49">
        <v>25</v>
      </c>
      <c r="O57" s="49">
        <v>25</v>
      </c>
      <c r="P57" s="49">
        <v>25</v>
      </c>
      <c r="Q57" s="49">
        <v>25</v>
      </c>
      <c r="R57" s="49">
        <v>25</v>
      </c>
      <c r="S57" s="49">
        <v>25</v>
      </c>
      <c r="T57" s="49">
        <v>25</v>
      </c>
    </row>
    <row r="58" spans="1:20" s="53" customFormat="1" ht="15.75" customHeight="1" x14ac:dyDescent="0.25">
      <c r="A58" s="62">
        <v>1984</v>
      </c>
      <c r="B58" s="62">
        <v>12</v>
      </c>
      <c r="C58" s="51">
        <f t="shared" si="0"/>
        <v>25.166666666666668</v>
      </c>
      <c r="D58" s="51">
        <f t="shared" si="1"/>
        <v>302</v>
      </c>
      <c r="E58" s="49">
        <v>1707.4</v>
      </c>
      <c r="F58" s="49">
        <f t="shared" si="2"/>
        <v>67.84370860927153</v>
      </c>
      <c r="G58" s="52">
        <f t="shared" si="3"/>
        <v>1.4739760259263598E-2</v>
      </c>
      <c r="H58" s="98"/>
      <c r="I58" s="49">
        <v>25</v>
      </c>
      <c r="J58" s="49">
        <v>25</v>
      </c>
      <c r="K58" s="49">
        <v>25</v>
      </c>
      <c r="L58" s="49">
        <v>25</v>
      </c>
      <c r="M58" s="49">
        <v>25</v>
      </c>
      <c r="N58" s="49">
        <v>25</v>
      </c>
      <c r="O58" s="49">
        <v>25</v>
      </c>
      <c r="P58" s="49">
        <v>25</v>
      </c>
      <c r="Q58" s="49">
        <v>25</v>
      </c>
      <c r="R58" s="49">
        <v>25</v>
      </c>
      <c r="S58" s="49">
        <v>26</v>
      </c>
      <c r="T58" s="49">
        <v>26</v>
      </c>
    </row>
    <row r="59" spans="1:20" s="53" customFormat="1" ht="15.75" customHeight="1" x14ac:dyDescent="0.25">
      <c r="A59" s="62">
        <v>1985</v>
      </c>
      <c r="B59" s="62">
        <v>12</v>
      </c>
      <c r="C59" s="51">
        <f t="shared" si="0"/>
        <v>26.666666666666668</v>
      </c>
      <c r="D59" s="51">
        <f t="shared" si="1"/>
        <v>320</v>
      </c>
      <c r="E59" s="49">
        <v>1707.4</v>
      </c>
      <c r="F59" s="49">
        <f t="shared" si="2"/>
        <v>64.027500000000003</v>
      </c>
      <c r="G59" s="52">
        <f t="shared" si="3"/>
        <v>1.5618289016438249E-2</v>
      </c>
      <c r="H59" s="98"/>
      <c r="I59" s="49">
        <v>26</v>
      </c>
      <c r="J59" s="49">
        <v>26</v>
      </c>
      <c r="K59" s="49">
        <v>26</v>
      </c>
      <c r="L59" s="49">
        <v>26</v>
      </c>
      <c r="M59" s="49">
        <v>26</v>
      </c>
      <c r="N59" s="49">
        <v>26</v>
      </c>
      <c r="O59" s="49">
        <v>26</v>
      </c>
      <c r="P59" s="49">
        <v>26</v>
      </c>
      <c r="Q59" s="49">
        <v>26</v>
      </c>
      <c r="R59" s="49">
        <v>26</v>
      </c>
      <c r="S59" s="49">
        <v>30</v>
      </c>
      <c r="T59" s="49">
        <v>30</v>
      </c>
    </row>
    <row r="60" spans="1:20" s="53" customFormat="1" ht="15.75" customHeight="1" x14ac:dyDescent="0.25">
      <c r="A60" s="62">
        <v>1986</v>
      </c>
      <c r="B60" s="62">
        <v>12</v>
      </c>
      <c r="C60" s="51">
        <f t="shared" si="0"/>
        <v>30</v>
      </c>
      <c r="D60" s="51">
        <f t="shared" si="1"/>
        <v>360</v>
      </c>
      <c r="E60" s="49">
        <v>1707.4</v>
      </c>
      <c r="F60" s="49">
        <f t="shared" si="2"/>
        <v>56.913333333333334</v>
      </c>
      <c r="G60" s="52">
        <f t="shared" si="3"/>
        <v>1.7570575143493028E-2</v>
      </c>
      <c r="H60" s="98"/>
      <c r="I60" s="49">
        <v>30</v>
      </c>
      <c r="J60" s="49">
        <v>30</v>
      </c>
      <c r="K60" s="49">
        <v>30</v>
      </c>
      <c r="L60" s="49">
        <v>30</v>
      </c>
      <c r="M60" s="49">
        <v>30</v>
      </c>
      <c r="N60" s="49">
        <v>30</v>
      </c>
      <c r="O60" s="49">
        <v>30</v>
      </c>
      <c r="P60" s="49">
        <v>30</v>
      </c>
      <c r="Q60" s="49">
        <v>30</v>
      </c>
      <c r="R60" s="49">
        <v>30</v>
      </c>
      <c r="S60" s="49">
        <v>30</v>
      </c>
      <c r="T60" s="49">
        <v>30</v>
      </c>
    </row>
    <row r="61" spans="1:20" s="53" customFormat="1" ht="15.75" customHeight="1" x14ac:dyDescent="0.25">
      <c r="A61" s="62">
        <v>1987</v>
      </c>
      <c r="B61" s="62">
        <v>12</v>
      </c>
      <c r="C61" s="51">
        <f t="shared" si="0"/>
        <v>25</v>
      </c>
      <c r="D61" s="51">
        <f t="shared" si="1"/>
        <v>300</v>
      </c>
      <c r="E61" s="49">
        <v>1707.4</v>
      </c>
      <c r="F61" s="49">
        <f t="shared" si="2"/>
        <v>68.296000000000006</v>
      </c>
      <c r="G61" s="52">
        <f t="shared" si="3"/>
        <v>1.4642145952910858E-2</v>
      </c>
      <c r="H61" s="98"/>
      <c r="I61" s="49">
        <v>30</v>
      </c>
      <c r="J61" s="49">
        <v>30</v>
      </c>
      <c r="K61" s="49">
        <v>30</v>
      </c>
      <c r="L61" s="49">
        <v>30</v>
      </c>
      <c r="M61" s="49">
        <v>30</v>
      </c>
      <c r="N61" s="49">
        <v>30</v>
      </c>
      <c r="O61" s="49">
        <v>30</v>
      </c>
      <c r="P61" s="49">
        <v>30</v>
      </c>
      <c r="Q61" s="49">
        <v>30</v>
      </c>
      <c r="R61" s="49">
        <v>30</v>
      </c>
      <c r="S61" s="49"/>
      <c r="T61" s="49"/>
    </row>
    <row r="62" spans="1:20" s="53" customFormat="1" ht="15.75" customHeight="1" x14ac:dyDescent="0.25">
      <c r="A62" s="62">
        <v>1988</v>
      </c>
      <c r="B62" s="62">
        <v>12</v>
      </c>
      <c r="C62" s="51">
        <f t="shared" si="0"/>
        <v>3.3333333333333335</v>
      </c>
      <c r="D62" s="51">
        <f t="shared" si="1"/>
        <v>40</v>
      </c>
      <c r="E62" s="49">
        <v>1707.4</v>
      </c>
      <c r="F62" s="49">
        <f t="shared" si="2"/>
        <v>512.22</v>
      </c>
      <c r="G62" s="52">
        <f t="shared" si="3"/>
        <v>1.9522861270547811E-3</v>
      </c>
      <c r="H62" s="98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>
        <v>20</v>
      </c>
      <c r="T62" s="49">
        <v>20</v>
      </c>
    </row>
    <row r="63" spans="1:20" s="53" customFormat="1" ht="15.75" customHeight="1" x14ac:dyDescent="0.25">
      <c r="A63" s="62">
        <v>1989</v>
      </c>
      <c r="B63" s="62">
        <v>12</v>
      </c>
      <c r="C63" s="51">
        <f t="shared" si="0"/>
        <v>22</v>
      </c>
      <c r="D63" s="51">
        <f t="shared" si="1"/>
        <v>264</v>
      </c>
      <c r="E63" s="49">
        <v>1707.4</v>
      </c>
      <c r="F63" s="49">
        <f t="shared" si="2"/>
        <v>77.609090909090909</v>
      </c>
      <c r="G63" s="52">
        <f t="shared" si="3"/>
        <v>1.2885088438561555E-2</v>
      </c>
      <c r="H63" s="98"/>
      <c r="I63" s="49">
        <v>20</v>
      </c>
      <c r="J63" s="49">
        <v>20</v>
      </c>
      <c r="K63" s="49">
        <v>23</v>
      </c>
      <c r="L63" s="49">
        <v>23</v>
      </c>
      <c r="M63" s="49">
        <v>23</v>
      </c>
      <c r="N63" s="49">
        <v>23</v>
      </c>
      <c r="O63" s="49">
        <v>23</v>
      </c>
      <c r="P63" s="49">
        <v>23</v>
      </c>
      <c r="Q63" s="49">
        <v>23</v>
      </c>
      <c r="R63" s="49">
        <v>23</v>
      </c>
      <c r="S63" s="49">
        <v>20</v>
      </c>
      <c r="T63" s="49">
        <v>20</v>
      </c>
    </row>
    <row r="64" spans="1:20" s="53" customFormat="1" ht="15.75" customHeight="1" x14ac:dyDescent="0.25">
      <c r="A64" s="62">
        <v>1990</v>
      </c>
      <c r="B64" s="62">
        <v>12</v>
      </c>
      <c r="C64" s="51">
        <f t="shared" si="0"/>
        <v>22.833333333333332</v>
      </c>
      <c r="D64" s="51">
        <f t="shared" si="1"/>
        <v>274</v>
      </c>
      <c r="E64" s="49">
        <v>1707.4</v>
      </c>
      <c r="F64" s="49">
        <f t="shared" si="2"/>
        <v>74.776642335766425</v>
      </c>
      <c r="G64" s="52">
        <f t="shared" si="3"/>
        <v>1.337315997032525E-2</v>
      </c>
      <c r="H64" s="98"/>
      <c r="I64" s="49">
        <v>20</v>
      </c>
      <c r="J64" s="49">
        <v>20</v>
      </c>
      <c r="K64" s="49">
        <v>23</v>
      </c>
      <c r="L64" s="49">
        <v>23</v>
      </c>
      <c r="M64" s="49">
        <v>23</v>
      </c>
      <c r="N64" s="49">
        <v>23</v>
      </c>
      <c r="O64" s="49">
        <v>23</v>
      </c>
      <c r="P64" s="49">
        <v>23</v>
      </c>
      <c r="Q64" s="49">
        <v>23</v>
      </c>
      <c r="R64" s="49">
        <v>23</v>
      </c>
      <c r="S64" s="49">
        <v>25</v>
      </c>
      <c r="T64" s="49">
        <v>25</v>
      </c>
    </row>
    <row r="65" spans="1:20" s="53" customFormat="1" ht="15.75" customHeight="1" x14ac:dyDescent="0.25">
      <c r="A65" s="62">
        <v>1991</v>
      </c>
      <c r="B65" s="62">
        <v>12</v>
      </c>
      <c r="C65" s="51">
        <f t="shared" si="0"/>
        <v>25.333333333333332</v>
      </c>
      <c r="D65" s="51">
        <f t="shared" si="1"/>
        <v>304</v>
      </c>
      <c r="E65" s="49">
        <v>1707.4</v>
      </c>
      <c r="F65" s="49">
        <f t="shared" si="2"/>
        <v>67.397368421052633</v>
      </c>
      <c r="G65" s="52">
        <f t="shared" si="3"/>
        <v>1.4837374565616335E-2</v>
      </c>
      <c r="H65" s="98"/>
      <c r="I65" s="49">
        <v>25</v>
      </c>
      <c r="J65" s="49">
        <v>25</v>
      </c>
      <c r="K65" s="49">
        <v>28</v>
      </c>
      <c r="L65" s="49">
        <v>28</v>
      </c>
      <c r="M65" s="49">
        <v>28</v>
      </c>
      <c r="N65" s="49">
        <v>28</v>
      </c>
      <c r="O65" s="49">
        <v>28</v>
      </c>
      <c r="P65" s="49">
        <v>28</v>
      </c>
      <c r="Q65" s="49">
        <v>28</v>
      </c>
      <c r="R65" s="49">
        <v>28</v>
      </c>
      <c r="S65" s="49">
        <v>15</v>
      </c>
      <c r="T65" s="49">
        <v>15</v>
      </c>
    </row>
    <row r="66" spans="1:20" s="53" customFormat="1" ht="15.75" customHeight="1" x14ac:dyDescent="0.25">
      <c r="A66" s="62">
        <v>1992</v>
      </c>
      <c r="B66" s="62">
        <v>12</v>
      </c>
      <c r="C66" s="51">
        <f t="shared" si="0"/>
        <v>16.666666666666668</v>
      </c>
      <c r="D66" s="51">
        <f t="shared" si="1"/>
        <v>200</v>
      </c>
      <c r="E66" s="49">
        <v>1707.4</v>
      </c>
      <c r="F66" s="49">
        <f t="shared" si="2"/>
        <v>102.444</v>
      </c>
      <c r="G66" s="52">
        <f t="shared" si="3"/>
        <v>9.7614306352739062E-3</v>
      </c>
      <c r="H66" s="98"/>
      <c r="I66" s="49">
        <v>15</v>
      </c>
      <c r="J66" s="49">
        <v>15</v>
      </c>
      <c r="K66" s="49">
        <v>15</v>
      </c>
      <c r="L66" s="49">
        <v>15</v>
      </c>
      <c r="M66" s="49">
        <v>15</v>
      </c>
      <c r="N66" s="49">
        <v>15</v>
      </c>
      <c r="O66" s="49">
        <v>15</v>
      </c>
      <c r="P66" s="49">
        <v>15</v>
      </c>
      <c r="Q66" s="49">
        <v>15</v>
      </c>
      <c r="R66" s="49">
        <v>15</v>
      </c>
      <c r="S66" s="49">
        <v>25</v>
      </c>
      <c r="T66" s="49">
        <v>25</v>
      </c>
    </row>
    <row r="67" spans="1:20" s="53" customFormat="1" ht="15.75" customHeight="1" x14ac:dyDescent="0.25">
      <c r="A67" s="62">
        <v>1993</v>
      </c>
      <c r="B67" s="62">
        <v>12</v>
      </c>
      <c r="C67" s="51">
        <f t="shared" si="0"/>
        <v>27</v>
      </c>
      <c r="D67" s="51">
        <f t="shared" si="1"/>
        <v>324</v>
      </c>
      <c r="E67" s="49">
        <v>1707.4</v>
      </c>
      <c r="F67" s="49">
        <f t="shared" si="2"/>
        <v>63.237037037037041</v>
      </c>
      <c r="G67" s="52">
        <f t="shared" si="3"/>
        <v>1.5813517629143726E-2</v>
      </c>
      <c r="H67" s="98"/>
      <c r="I67" s="49">
        <v>25</v>
      </c>
      <c r="J67" s="49">
        <v>25</v>
      </c>
      <c r="K67" s="49">
        <v>28</v>
      </c>
      <c r="L67" s="49">
        <v>28</v>
      </c>
      <c r="M67" s="49">
        <v>28</v>
      </c>
      <c r="N67" s="49">
        <v>28</v>
      </c>
      <c r="O67" s="49">
        <v>28</v>
      </c>
      <c r="P67" s="49">
        <v>28</v>
      </c>
      <c r="Q67" s="49">
        <v>28</v>
      </c>
      <c r="R67" s="49">
        <v>28</v>
      </c>
      <c r="S67" s="49">
        <v>25</v>
      </c>
      <c r="T67" s="49">
        <v>25</v>
      </c>
    </row>
    <row r="68" spans="1:20" s="53" customFormat="1" ht="15.75" customHeight="1" x14ac:dyDescent="0.25">
      <c r="A68" s="62">
        <v>1994</v>
      </c>
      <c r="B68" s="62">
        <v>12</v>
      </c>
      <c r="C68" s="51">
        <f t="shared" ref="C68:C94" si="4">D68/B68</f>
        <v>22.833333333333332</v>
      </c>
      <c r="D68" s="51">
        <f t="shared" ref="D68:D84" si="5">SUM(I68:T68)</f>
        <v>274</v>
      </c>
      <c r="E68" s="49">
        <v>1707.4</v>
      </c>
      <c r="F68" s="49">
        <f t="shared" ref="F68:F84" si="6">E68/C68</f>
        <v>74.776642335766425</v>
      </c>
      <c r="G68" s="52">
        <f t="shared" ref="G68:G84" si="7">C68/E68</f>
        <v>1.337315997032525E-2</v>
      </c>
      <c r="H68" s="98"/>
      <c r="I68" s="49">
        <v>25</v>
      </c>
      <c r="J68" s="49">
        <v>25</v>
      </c>
      <c r="K68" s="49">
        <v>28</v>
      </c>
      <c r="L68" s="49">
        <v>28</v>
      </c>
      <c r="M68" s="49">
        <v>28</v>
      </c>
      <c r="N68" s="49">
        <v>28</v>
      </c>
      <c r="O68" s="49">
        <v>28</v>
      </c>
      <c r="P68" s="49">
        <v>28</v>
      </c>
      <c r="Q68" s="49">
        <v>28</v>
      </c>
      <c r="R68" s="49">
        <v>28</v>
      </c>
      <c r="S68" s="49">
        <v>0</v>
      </c>
      <c r="T68" s="49">
        <v>0</v>
      </c>
    </row>
    <row r="69" spans="1:20" s="53" customFormat="1" ht="15.75" customHeight="1" x14ac:dyDescent="0.25">
      <c r="A69" s="62">
        <v>1995</v>
      </c>
      <c r="B69" s="62">
        <v>12</v>
      </c>
      <c r="C69" s="51">
        <f t="shared" si="4"/>
        <v>4.166666666666667</v>
      </c>
      <c r="D69" s="51">
        <f t="shared" si="5"/>
        <v>50</v>
      </c>
      <c r="E69" s="49">
        <v>1707.4</v>
      </c>
      <c r="F69" s="49">
        <f t="shared" si="6"/>
        <v>409.77600000000001</v>
      </c>
      <c r="G69" s="52">
        <f t="shared" si="7"/>
        <v>2.4403576588184765E-3</v>
      </c>
      <c r="H69" s="98"/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>
        <v>25</v>
      </c>
      <c r="T69" s="49">
        <v>25</v>
      </c>
    </row>
    <row r="70" spans="1:20" s="53" customFormat="1" ht="15.75" customHeight="1" x14ac:dyDescent="0.25">
      <c r="A70" s="62">
        <v>1996</v>
      </c>
      <c r="B70" s="62">
        <v>12</v>
      </c>
      <c r="C70" s="51">
        <f t="shared" si="4"/>
        <v>26.416666666666668</v>
      </c>
      <c r="D70" s="51">
        <f t="shared" si="5"/>
        <v>317</v>
      </c>
      <c r="E70" s="49">
        <v>1707.4</v>
      </c>
      <c r="F70" s="49">
        <f t="shared" si="6"/>
        <v>64.633438485804419</v>
      </c>
      <c r="G70" s="52">
        <f t="shared" si="7"/>
        <v>1.5471867556909141E-2</v>
      </c>
      <c r="H70" s="98"/>
      <c r="I70" s="49">
        <v>25</v>
      </c>
      <c r="J70" s="49">
        <v>25</v>
      </c>
      <c r="K70" s="49">
        <v>28</v>
      </c>
      <c r="L70" s="49">
        <v>28</v>
      </c>
      <c r="M70" s="49">
        <v>28</v>
      </c>
      <c r="N70" s="49">
        <v>28</v>
      </c>
      <c r="O70" s="49">
        <v>28</v>
      </c>
      <c r="P70" s="49">
        <v>28</v>
      </c>
      <c r="Q70" s="49">
        <v>28</v>
      </c>
      <c r="R70" s="49">
        <v>28</v>
      </c>
      <c r="S70" s="49">
        <v>21.5</v>
      </c>
      <c r="T70" s="49">
        <v>21.5</v>
      </c>
    </row>
    <row r="71" spans="1:20" s="53" customFormat="1" ht="15.75" customHeight="1" x14ac:dyDescent="0.25">
      <c r="A71" s="62">
        <v>1997</v>
      </c>
      <c r="B71" s="62">
        <v>12</v>
      </c>
      <c r="C71" s="51">
        <f t="shared" si="4"/>
        <v>20.666666666666668</v>
      </c>
      <c r="D71" s="51">
        <f t="shared" si="5"/>
        <v>248</v>
      </c>
      <c r="E71" s="49">
        <v>1707.4</v>
      </c>
      <c r="F71" s="49">
        <f t="shared" si="6"/>
        <v>82.616129032258058</v>
      </c>
      <c r="G71" s="52">
        <f t="shared" si="7"/>
        <v>1.2104173987739643E-2</v>
      </c>
      <c r="H71" s="98"/>
      <c r="I71" s="49">
        <v>21.5</v>
      </c>
      <c r="J71" s="49">
        <v>21.5</v>
      </c>
      <c r="K71" s="49">
        <v>21.5</v>
      </c>
      <c r="L71" s="49">
        <v>21.5</v>
      </c>
      <c r="M71" s="49">
        <v>21.5</v>
      </c>
      <c r="N71" s="49">
        <v>21.5</v>
      </c>
      <c r="O71" s="49">
        <v>21.5</v>
      </c>
      <c r="P71" s="49">
        <v>21.5</v>
      </c>
      <c r="Q71" s="49">
        <v>21.5</v>
      </c>
      <c r="R71" s="49">
        <v>21.5</v>
      </c>
      <c r="S71" s="49">
        <v>16.5</v>
      </c>
      <c r="T71" s="49">
        <v>16.5</v>
      </c>
    </row>
    <row r="72" spans="1:20" s="53" customFormat="1" ht="15.75" customHeight="1" x14ac:dyDescent="0.25">
      <c r="A72" s="62">
        <v>1998</v>
      </c>
      <c r="B72" s="62">
        <v>12</v>
      </c>
      <c r="C72" s="51">
        <f t="shared" si="4"/>
        <v>17.083333333333332</v>
      </c>
      <c r="D72" s="51">
        <f t="shared" si="5"/>
        <v>205</v>
      </c>
      <c r="E72" s="49">
        <v>1707.4</v>
      </c>
      <c r="F72" s="49">
        <f t="shared" si="6"/>
        <v>99.945365853658544</v>
      </c>
      <c r="G72" s="52">
        <f t="shared" si="7"/>
        <v>1.0005466401155752E-2</v>
      </c>
      <c r="H72" s="98"/>
      <c r="I72" s="49">
        <v>16.5</v>
      </c>
      <c r="J72" s="49">
        <v>16.5</v>
      </c>
      <c r="K72" s="49">
        <v>16.5</v>
      </c>
      <c r="L72" s="49">
        <v>16.5</v>
      </c>
      <c r="M72" s="49">
        <v>16.5</v>
      </c>
      <c r="N72" s="49">
        <v>16.5</v>
      </c>
      <c r="O72" s="49">
        <v>16.5</v>
      </c>
      <c r="P72" s="49">
        <v>16.5</v>
      </c>
      <c r="Q72" s="49">
        <v>16.5</v>
      </c>
      <c r="R72" s="49">
        <v>16.5</v>
      </c>
      <c r="S72" s="49">
        <v>20</v>
      </c>
      <c r="T72" s="49">
        <v>20</v>
      </c>
    </row>
    <row r="73" spans="1:20" s="53" customFormat="1" ht="15.75" customHeight="1" x14ac:dyDescent="0.25">
      <c r="A73" s="62">
        <v>1999</v>
      </c>
      <c r="B73" s="62">
        <v>12</v>
      </c>
      <c r="C73" s="51">
        <f t="shared" si="4"/>
        <v>21.5</v>
      </c>
      <c r="D73" s="51">
        <f t="shared" si="5"/>
        <v>258</v>
      </c>
      <c r="E73" s="49">
        <v>1707.4</v>
      </c>
      <c r="F73" s="49">
        <f t="shared" si="6"/>
        <v>79.413953488372101</v>
      </c>
      <c r="G73" s="52">
        <f t="shared" si="7"/>
        <v>1.2592245519503338E-2</v>
      </c>
      <c r="H73" s="98"/>
      <c r="I73" s="49">
        <v>20</v>
      </c>
      <c r="J73" s="49">
        <v>20</v>
      </c>
      <c r="K73" s="49">
        <v>23</v>
      </c>
      <c r="L73" s="49">
        <v>23</v>
      </c>
      <c r="M73" s="49">
        <v>23</v>
      </c>
      <c r="N73" s="49">
        <v>23</v>
      </c>
      <c r="O73" s="49">
        <v>23</v>
      </c>
      <c r="P73" s="49">
        <v>23</v>
      </c>
      <c r="Q73" s="49">
        <v>20</v>
      </c>
      <c r="R73" s="49">
        <v>20</v>
      </c>
      <c r="S73" s="49">
        <v>20</v>
      </c>
      <c r="T73" s="49">
        <v>20</v>
      </c>
    </row>
    <row r="74" spans="1:20" s="53" customFormat="1" ht="15.75" customHeight="1" x14ac:dyDescent="0.25">
      <c r="A74" s="62">
        <v>2000</v>
      </c>
      <c r="B74" s="62">
        <v>12</v>
      </c>
      <c r="C74" s="51">
        <f t="shared" si="4"/>
        <v>22.333333333333332</v>
      </c>
      <c r="D74" s="51">
        <f t="shared" si="5"/>
        <v>268</v>
      </c>
      <c r="E74" s="49">
        <v>1707.4</v>
      </c>
      <c r="F74" s="49">
        <f t="shared" si="6"/>
        <v>76.450746268656729</v>
      </c>
      <c r="G74" s="52">
        <f t="shared" si="7"/>
        <v>1.3080317051267032E-2</v>
      </c>
      <c r="H74" s="98"/>
      <c r="I74" s="49">
        <v>20</v>
      </c>
      <c r="J74" s="49">
        <v>20</v>
      </c>
      <c r="K74" s="49">
        <v>23</v>
      </c>
      <c r="L74" s="49">
        <v>23</v>
      </c>
      <c r="M74" s="49">
        <v>23</v>
      </c>
      <c r="N74" s="49">
        <v>23</v>
      </c>
      <c r="O74" s="49">
        <v>23</v>
      </c>
      <c r="P74" s="49">
        <v>23</v>
      </c>
      <c r="Q74" s="49">
        <v>20</v>
      </c>
      <c r="R74" s="49">
        <v>20</v>
      </c>
      <c r="S74" s="49">
        <v>25</v>
      </c>
      <c r="T74" s="49">
        <v>25</v>
      </c>
    </row>
    <row r="75" spans="1:20" s="53" customFormat="1" ht="15.75" customHeight="1" x14ac:dyDescent="0.25">
      <c r="A75" s="62">
        <v>2001</v>
      </c>
      <c r="B75" s="62">
        <v>12</v>
      </c>
      <c r="C75" s="51">
        <f t="shared" si="4"/>
        <v>25</v>
      </c>
      <c r="D75" s="51">
        <f t="shared" si="5"/>
        <v>300</v>
      </c>
      <c r="E75" s="49">
        <v>1707.4</v>
      </c>
      <c r="F75" s="49">
        <f t="shared" si="6"/>
        <v>68.296000000000006</v>
      </c>
      <c r="G75" s="52">
        <f t="shared" si="7"/>
        <v>1.4642145952910858E-2</v>
      </c>
      <c r="H75" s="98"/>
      <c r="I75" s="49">
        <v>25</v>
      </c>
      <c r="J75" s="49">
        <v>25</v>
      </c>
      <c r="K75" s="49">
        <v>25</v>
      </c>
      <c r="L75" s="49">
        <v>25</v>
      </c>
      <c r="M75" s="49">
        <v>25</v>
      </c>
      <c r="N75" s="49">
        <v>25</v>
      </c>
      <c r="O75" s="49">
        <v>25</v>
      </c>
      <c r="P75" s="49">
        <v>25</v>
      </c>
      <c r="Q75" s="49">
        <v>25</v>
      </c>
      <c r="R75" s="49">
        <v>25</v>
      </c>
      <c r="S75" s="49">
        <v>25</v>
      </c>
      <c r="T75" s="49">
        <v>25</v>
      </c>
    </row>
    <row r="76" spans="1:20" s="53" customFormat="1" ht="15.75" customHeight="1" x14ac:dyDescent="0.25">
      <c r="A76" s="62">
        <v>2002</v>
      </c>
      <c r="B76" s="62">
        <v>12</v>
      </c>
      <c r="C76" s="51">
        <f t="shared" si="4"/>
        <v>24.166666666666668</v>
      </c>
      <c r="D76" s="51">
        <f t="shared" si="5"/>
        <v>290</v>
      </c>
      <c r="E76" s="49">
        <v>1707.4</v>
      </c>
      <c r="F76" s="49">
        <f t="shared" si="6"/>
        <v>70.651034482758618</v>
      </c>
      <c r="G76" s="52">
        <f t="shared" si="7"/>
        <v>1.4154074421147163E-2</v>
      </c>
      <c r="H76" s="98"/>
      <c r="I76" s="49">
        <v>25</v>
      </c>
      <c r="J76" s="49">
        <v>25</v>
      </c>
      <c r="K76" s="49">
        <v>25</v>
      </c>
      <c r="L76" s="49">
        <v>25</v>
      </c>
      <c r="M76" s="49">
        <v>25</v>
      </c>
      <c r="N76" s="49">
        <v>25</v>
      </c>
      <c r="O76" s="49">
        <v>25</v>
      </c>
      <c r="P76" s="49">
        <v>25</v>
      </c>
      <c r="Q76" s="49">
        <v>25</v>
      </c>
      <c r="R76" s="49">
        <v>25</v>
      </c>
      <c r="S76" s="49">
        <v>20</v>
      </c>
      <c r="T76" s="49">
        <v>20</v>
      </c>
    </row>
    <row r="77" spans="1:20" s="53" customFormat="1" ht="15.75" customHeight="1" x14ac:dyDescent="0.25">
      <c r="A77" s="62">
        <v>2003</v>
      </c>
      <c r="B77" s="62">
        <v>12</v>
      </c>
      <c r="C77" s="51">
        <f t="shared" si="4"/>
        <v>20</v>
      </c>
      <c r="D77" s="51">
        <f t="shared" si="5"/>
        <v>240</v>
      </c>
      <c r="E77" s="49">
        <v>1707.4</v>
      </c>
      <c r="F77" s="49">
        <f t="shared" si="6"/>
        <v>85.37</v>
      </c>
      <c r="G77" s="52">
        <f t="shared" si="7"/>
        <v>1.1713716762328687E-2</v>
      </c>
      <c r="H77" s="98"/>
      <c r="I77" s="49">
        <v>20</v>
      </c>
      <c r="J77" s="49">
        <v>20</v>
      </c>
      <c r="K77" s="49">
        <v>20</v>
      </c>
      <c r="L77" s="49">
        <v>20</v>
      </c>
      <c r="M77" s="49">
        <v>20</v>
      </c>
      <c r="N77" s="49">
        <v>20</v>
      </c>
      <c r="O77" s="49">
        <v>20</v>
      </c>
      <c r="P77" s="49">
        <v>20</v>
      </c>
      <c r="Q77" s="49">
        <v>20</v>
      </c>
      <c r="R77" s="49">
        <v>20</v>
      </c>
      <c r="S77" s="49">
        <v>20</v>
      </c>
      <c r="T77" s="49">
        <v>20</v>
      </c>
    </row>
    <row r="78" spans="1:20" s="53" customFormat="1" ht="15.75" customHeight="1" x14ac:dyDescent="0.25">
      <c r="A78" s="62">
        <v>2004</v>
      </c>
      <c r="B78" s="62">
        <v>12</v>
      </c>
      <c r="C78" s="51">
        <f t="shared" si="4"/>
        <v>20</v>
      </c>
      <c r="D78" s="51">
        <f t="shared" si="5"/>
        <v>240</v>
      </c>
      <c r="E78" s="49">
        <v>1707.4</v>
      </c>
      <c r="F78" s="49">
        <f t="shared" si="6"/>
        <v>85.37</v>
      </c>
      <c r="G78" s="52">
        <f t="shared" si="7"/>
        <v>1.1713716762328687E-2</v>
      </c>
      <c r="H78" s="98"/>
      <c r="I78" s="49">
        <v>20</v>
      </c>
      <c r="J78" s="49">
        <v>20</v>
      </c>
      <c r="K78" s="49">
        <v>20</v>
      </c>
      <c r="L78" s="49">
        <v>20</v>
      </c>
      <c r="M78" s="49">
        <v>20</v>
      </c>
      <c r="N78" s="49">
        <v>20</v>
      </c>
      <c r="O78" s="49">
        <v>20</v>
      </c>
      <c r="P78" s="49">
        <v>20</v>
      </c>
      <c r="Q78" s="49">
        <v>20</v>
      </c>
      <c r="R78" s="49">
        <v>20</v>
      </c>
      <c r="S78" s="49">
        <v>20</v>
      </c>
      <c r="T78" s="49">
        <v>20</v>
      </c>
    </row>
    <row r="79" spans="1:20" s="53" customFormat="1" ht="15.75" customHeight="1" x14ac:dyDescent="0.25">
      <c r="A79" s="62">
        <v>2005</v>
      </c>
      <c r="B79" s="62">
        <v>12</v>
      </c>
      <c r="C79" s="51">
        <f t="shared" si="4"/>
        <v>16.666666666666668</v>
      </c>
      <c r="D79" s="51">
        <f t="shared" si="5"/>
        <v>200</v>
      </c>
      <c r="E79" s="49">
        <v>1707.4</v>
      </c>
      <c r="F79" s="49">
        <f t="shared" si="6"/>
        <v>102.444</v>
      </c>
      <c r="G79" s="52">
        <f t="shared" si="7"/>
        <v>9.7614306352739062E-3</v>
      </c>
      <c r="H79" s="98"/>
      <c r="I79" s="49">
        <v>20</v>
      </c>
      <c r="J79" s="49">
        <v>20</v>
      </c>
      <c r="K79" s="49">
        <v>20</v>
      </c>
      <c r="L79" s="49">
        <v>20</v>
      </c>
      <c r="M79" s="49">
        <v>20</v>
      </c>
      <c r="N79" s="49">
        <v>20</v>
      </c>
      <c r="O79" s="49">
        <v>20</v>
      </c>
      <c r="P79" s="49">
        <v>20</v>
      </c>
      <c r="Q79" s="49">
        <v>20</v>
      </c>
      <c r="R79" s="49">
        <v>20</v>
      </c>
      <c r="S79" s="49">
        <v>0</v>
      </c>
      <c r="T79" s="49">
        <v>0</v>
      </c>
    </row>
    <row r="80" spans="1:20" s="53" customFormat="1" ht="15.75" customHeight="1" x14ac:dyDescent="0.25">
      <c r="A80" s="62">
        <v>2006</v>
      </c>
      <c r="B80" s="62">
        <v>12</v>
      </c>
      <c r="C80" s="51">
        <f t="shared" si="4"/>
        <v>0</v>
      </c>
      <c r="D80" s="51">
        <f t="shared" si="5"/>
        <v>0</v>
      </c>
      <c r="E80" s="49">
        <v>1707.4</v>
      </c>
      <c r="F80" s="49" t="e">
        <f t="shared" si="6"/>
        <v>#DIV/0!</v>
      </c>
      <c r="G80" s="52">
        <f t="shared" si="7"/>
        <v>0</v>
      </c>
      <c r="H80" s="98"/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62">
        <v>2007</v>
      </c>
      <c r="B81" s="62">
        <v>12</v>
      </c>
      <c r="C81" s="51">
        <f t="shared" si="4"/>
        <v>44.108333333333327</v>
      </c>
      <c r="D81" s="51">
        <f t="shared" si="5"/>
        <v>529.29999999999995</v>
      </c>
      <c r="E81" s="49">
        <v>1707.4</v>
      </c>
      <c r="F81" s="49">
        <f t="shared" si="6"/>
        <v>38.709238617041386</v>
      </c>
      <c r="G81" s="52">
        <f t="shared" si="7"/>
        <v>2.5833626176252386E-2</v>
      </c>
      <c r="H81" s="98"/>
      <c r="I81" s="49">
        <v>262.60000000000002</v>
      </c>
      <c r="J81" s="49">
        <v>32.9</v>
      </c>
      <c r="K81" s="49">
        <v>0</v>
      </c>
      <c r="L81" s="49">
        <v>0</v>
      </c>
      <c r="M81" s="49">
        <v>0</v>
      </c>
      <c r="N81" s="49">
        <v>0.3</v>
      </c>
      <c r="O81" s="49">
        <v>0</v>
      </c>
      <c r="P81" s="49">
        <v>0</v>
      </c>
      <c r="Q81" s="49">
        <v>0</v>
      </c>
      <c r="R81" s="49">
        <v>233.5</v>
      </c>
      <c r="S81" s="49">
        <v>0</v>
      </c>
      <c r="T81" s="49">
        <v>0</v>
      </c>
    </row>
    <row r="82" spans="1:20" s="53" customFormat="1" ht="15.75" customHeight="1" x14ac:dyDescent="0.25">
      <c r="A82" s="62">
        <v>2008</v>
      </c>
      <c r="B82" s="62">
        <v>12</v>
      </c>
      <c r="C82" s="51">
        <f t="shared" si="4"/>
        <v>12.366666666666667</v>
      </c>
      <c r="D82" s="51">
        <f t="shared" si="5"/>
        <v>148.4</v>
      </c>
      <c r="E82" s="49">
        <v>1707.4</v>
      </c>
      <c r="F82" s="49">
        <f t="shared" si="6"/>
        <v>138.06469002695417</v>
      </c>
      <c r="G82" s="52">
        <f t="shared" si="7"/>
        <v>7.2429815313732378E-3</v>
      </c>
      <c r="H82" s="98"/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148.4</v>
      </c>
      <c r="Q82" s="49">
        <v>0</v>
      </c>
      <c r="R82" s="49">
        <v>0</v>
      </c>
      <c r="S82" s="49">
        <v>0</v>
      </c>
      <c r="T82" s="49">
        <v>0</v>
      </c>
    </row>
    <row r="83" spans="1:20" s="53" customFormat="1" ht="15.75" customHeight="1" x14ac:dyDescent="0.25">
      <c r="A83" s="62">
        <v>2009</v>
      </c>
      <c r="B83" s="62">
        <v>12</v>
      </c>
      <c r="C83" s="51">
        <f t="shared" si="4"/>
        <v>0</v>
      </c>
      <c r="D83" s="51">
        <f t="shared" si="5"/>
        <v>0</v>
      </c>
      <c r="E83" s="49">
        <v>1707.4</v>
      </c>
      <c r="F83" s="49" t="e">
        <f t="shared" si="6"/>
        <v>#DIV/0!</v>
      </c>
      <c r="G83" s="52">
        <f t="shared" si="7"/>
        <v>0</v>
      </c>
      <c r="H83" s="98"/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s="53" customFormat="1" ht="15.75" customHeight="1" x14ac:dyDescent="0.25">
      <c r="A84" s="62">
        <v>2010</v>
      </c>
      <c r="B84" s="62">
        <v>12</v>
      </c>
      <c r="C84" s="51">
        <f t="shared" si="4"/>
        <v>13.208333333333334</v>
      </c>
      <c r="D84" s="51">
        <f t="shared" si="5"/>
        <v>158.5</v>
      </c>
      <c r="E84" s="49">
        <v>1707.4</v>
      </c>
      <c r="F84" s="49">
        <f t="shared" si="6"/>
        <v>129.26687697160884</v>
      </c>
      <c r="G84" s="52">
        <f t="shared" si="7"/>
        <v>7.7359337784545703E-3</v>
      </c>
      <c r="H84" s="98"/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158.5</v>
      </c>
      <c r="R84" s="49">
        <v>0</v>
      </c>
      <c r="S84" s="49">
        <v>0</v>
      </c>
      <c r="T84" s="49">
        <v>0</v>
      </c>
    </row>
    <row r="85" spans="1:20" s="53" customFormat="1" ht="15.75" customHeight="1" x14ac:dyDescent="0.25">
      <c r="A85" s="62">
        <v>2011</v>
      </c>
      <c r="B85" s="62">
        <v>12</v>
      </c>
      <c r="C85" s="51">
        <f t="shared" si="4"/>
        <v>0</v>
      </c>
      <c r="D85" s="51">
        <f t="shared" ref="D85:D94" si="8">SUM(I85:T85)</f>
        <v>0</v>
      </c>
      <c r="E85" s="49">
        <v>1707.4</v>
      </c>
      <c r="F85" s="49" t="e">
        <f t="shared" ref="F85:F94" si="9">E85/C85</f>
        <v>#DIV/0!</v>
      </c>
      <c r="G85" s="52">
        <f t="shared" ref="G85:G94" si="10">C85/E85</f>
        <v>0</v>
      </c>
      <c r="H85" s="99"/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s="53" customFormat="1" ht="15.75" customHeight="1" x14ac:dyDescent="0.25">
      <c r="A86" s="62">
        <v>2012</v>
      </c>
      <c r="B86" s="62">
        <v>12</v>
      </c>
      <c r="C86" s="51">
        <f t="shared" si="4"/>
        <v>0</v>
      </c>
      <c r="D86" s="51">
        <f t="shared" si="8"/>
        <v>0</v>
      </c>
      <c r="E86" s="49">
        <v>1707.4</v>
      </c>
      <c r="F86" s="49" t="e">
        <f t="shared" si="9"/>
        <v>#DIV/0!</v>
      </c>
      <c r="G86" s="52">
        <f t="shared" si="10"/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s="53" customFormat="1" ht="15.75" customHeight="1" x14ac:dyDescent="0.25">
      <c r="A87" s="62">
        <v>2013</v>
      </c>
      <c r="B87" s="62">
        <v>12</v>
      </c>
      <c r="C87" s="51">
        <f t="shared" si="4"/>
        <v>19.650000000000002</v>
      </c>
      <c r="D87" s="51">
        <f t="shared" si="8"/>
        <v>235.8</v>
      </c>
      <c r="E87" s="49">
        <v>1707.4</v>
      </c>
      <c r="F87" s="49">
        <f t="shared" si="9"/>
        <v>86.890585241730278</v>
      </c>
      <c r="G87" s="52">
        <f t="shared" si="10"/>
        <v>1.1508726718987936E-2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234</v>
      </c>
      <c r="Q87" s="49">
        <v>1.8</v>
      </c>
      <c r="R87" s="49">
        <v>0</v>
      </c>
      <c r="S87" s="49">
        <v>0</v>
      </c>
      <c r="T87" s="49">
        <v>0</v>
      </c>
    </row>
    <row r="88" spans="1:20" s="53" customFormat="1" ht="15.75" customHeight="1" x14ac:dyDescent="0.25">
      <c r="A88" s="62">
        <v>2014</v>
      </c>
      <c r="B88" s="62">
        <v>12</v>
      </c>
      <c r="C88" s="51">
        <f t="shared" si="4"/>
        <v>15.491666666666667</v>
      </c>
      <c r="D88" s="51">
        <f t="shared" si="8"/>
        <v>185.9</v>
      </c>
      <c r="E88" s="49">
        <v>1707.4</v>
      </c>
      <c r="F88" s="49">
        <f t="shared" si="9"/>
        <v>110.21409359870898</v>
      </c>
      <c r="G88" s="52">
        <f t="shared" si="10"/>
        <v>9.0732497754870949E-3</v>
      </c>
      <c r="I88" s="49">
        <v>0</v>
      </c>
      <c r="J88" s="49">
        <v>0</v>
      </c>
      <c r="K88" s="49">
        <v>0</v>
      </c>
      <c r="L88" s="49">
        <v>0</v>
      </c>
      <c r="M88" s="49">
        <v>0</v>
      </c>
      <c r="N88" s="49">
        <v>0</v>
      </c>
      <c r="O88" s="49">
        <v>88</v>
      </c>
      <c r="P88" s="49">
        <v>93.8</v>
      </c>
      <c r="Q88" s="49">
        <v>4</v>
      </c>
      <c r="R88" s="49">
        <v>0.1</v>
      </c>
      <c r="S88" s="49">
        <v>0</v>
      </c>
      <c r="T88" s="49">
        <v>0</v>
      </c>
    </row>
    <row r="89" spans="1:20" s="53" customFormat="1" ht="15.75" customHeight="1" x14ac:dyDescent="0.25">
      <c r="A89" s="62">
        <v>2015</v>
      </c>
      <c r="B89" s="62">
        <v>12</v>
      </c>
      <c r="C89" s="51">
        <f t="shared" si="4"/>
        <v>16.408333333333335</v>
      </c>
      <c r="D89" s="51">
        <f t="shared" si="8"/>
        <v>196.9</v>
      </c>
      <c r="E89" s="49">
        <v>1707.4</v>
      </c>
      <c r="F89" s="49">
        <f t="shared" si="9"/>
        <v>104.05688166582021</v>
      </c>
      <c r="G89" s="52">
        <f t="shared" si="10"/>
        <v>9.6101284604271607E-3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196.6</v>
      </c>
      <c r="Q89" s="49">
        <v>0.3</v>
      </c>
      <c r="R89" s="49">
        <v>0</v>
      </c>
      <c r="S89" s="49">
        <v>0</v>
      </c>
      <c r="T89" s="49">
        <v>0</v>
      </c>
    </row>
    <row r="90" spans="1:20" s="53" customFormat="1" ht="15.75" customHeight="1" x14ac:dyDescent="0.25">
      <c r="A90" s="62">
        <v>2016</v>
      </c>
      <c r="B90" s="62">
        <v>12</v>
      </c>
      <c r="C90" s="51">
        <f t="shared" si="4"/>
        <v>6.708333333333333</v>
      </c>
      <c r="D90" s="51">
        <f t="shared" si="8"/>
        <v>80.5</v>
      </c>
      <c r="E90" s="49">
        <v>1707.4</v>
      </c>
      <c r="F90" s="49">
        <f t="shared" si="9"/>
        <v>254.51925465838511</v>
      </c>
      <c r="G90" s="52">
        <f t="shared" si="10"/>
        <v>3.9289758306977471E-3</v>
      </c>
      <c r="I90" s="49">
        <v>0</v>
      </c>
      <c r="J90" s="49">
        <v>80.5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>
        <v>0</v>
      </c>
      <c r="T90" s="49">
        <v>0</v>
      </c>
    </row>
    <row r="91" spans="1:20" s="53" customFormat="1" ht="15.75" customHeight="1" x14ac:dyDescent="0.25">
      <c r="A91" s="62">
        <v>2017</v>
      </c>
      <c r="B91" s="62">
        <v>12</v>
      </c>
      <c r="C91" s="51">
        <f t="shared" si="4"/>
        <v>33.053249999999998</v>
      </c>
      <c r="D91" s="51">
        <f t="shared" si="8"/>
        <v>396.63900000000001</v>
      </c>
      <c r="E91" s="49">
        <v>1707.4</v>
      </c>
      <c r="F91" s="49">
        <f t="shared" si="9"/>
        <v>51.656039875050112</v>
      </c>
      <c r="G91" s="52">
        <f t="shared" si="10"/>
        <v>1.9358820428722032E-2</v>
      </c>
      <c r="I91" s="49">
        <v>0</v>
      </c>
      <c r="J91" s="49">
        <v>0</v>
      </c>
      <c r="K91" s="49">
        <v>393.709</v>
      </c>
      <c r="L91" s="49">
        <v>2.93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</row>
    <row r="92" spans="1:20" s="53" customFormat="1" ht="15.75" customHeight="1" x14ac:dyDescent="0.25">
      <c r="A92" s="62">
        <v>2018</v>
      </c>
      <c r="B92" s="62">
        <v>12</v>
      </c>
      <c r="C92" s="51">
        <f t="shared" si="4"/>
        <v>32.363333333333337</v>
      </c>
      <c r="D92" s="51">
        <f t="shared" si="8"/>
        <v>388.36</v>
      </c>
      <c r="E92" s="49">
        <v>1707.4</v>
      </c>
      <c r="F92" s="49">
        <f t="shared" si="9"/>
        <v>52.757235554640019</v>
      </c>
      <c r="G92" s="52">
        <f t="shared" si="10"/>
        <v>1.8954746007574873E-2</v>
      </c>
      <c r="I92" s="49">
        <v>0</v>
      </c>
      <c r="J92" s="49">
        <v>0</v>
      </c>
      <c r="K92" s="49">
        <v>0.26</v>
      </c>
      <c r="L92" s="49">
        <v>388.1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>
        <v>0</v>
      </c>
      <c r="T92" s="49">
        <v>0</v>
      </c>
    </row>
    <row r="93" spans="1:20" s="53" customFormat="1" ht="15.75" customHeight="1" x14ac:dyDescent="0.25">
      <c r="A93" s="62">
        <v>2019</v>
      </c>
      <c r="B93" s="62">
        <v>12</v>
      </c>
      <c r="C93" s="51">
        <f t="shared" si="4"/>
        <v>27.416666666666668</v>
      </c>
      <c r="D93" s="51">
        <f t="shared" si="8"/>
        <v>329</v>
      </c>
      <c r="E93" s="49">
        <v>1707.4</v>
      </c>
      <c r="F93" s="49">
        <f t="shared" si="9"/>
        <v>62.275987841945287</v>
      </c>
      <c r="G93" s="52">
        <f t="shared" si="10"/>
        <v>1.6057553395025573E-2</v>
      </c>
      <c r="I93" s="49">
        <v>0</v>
      </c>
      <c r="J93" s="49">
        <v>0</v>
      </c>
      <c r="K93" s="49">
        <v>0</v>
      </c>
      <c r="L93" s="49">
        <v>239.7</v>
      </c>
      <c r="M93" s="49">
        <v>89.3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62">
        <v>2020</v>
      </c>
      <c r="B94" s="62">
        <v>12</v>
      </c>
      <c r="C94" s="51">
        <f t="shared" si="4"/>
        <v>32.074999999999996</v>
      </c>
      <c r="D94" s="51">
        <f t="shared" si="8"/>
        <v>384.9</v>
      </c>
      <c r="E94" s="49">
        <v>1707.4</v>
      </c>
      <c r="F94" s="49">
        <f t="shared" si="9"/>
        <v>53.231488698363222</v>
      </c>
      <c r="G94" s="52">
        <f t="shared" si="10"/>
        <v>1.8785873257584629E-2</v>
      </c>
      <c r="I94" s="49">
        <v>0</v>
      </c>
      <c r="J94" s="49">
        <v>0</v>
      </c>
      <c r="K94" s="49">
        <v>0</v>
      </c>
      <c r="L94" s="49">
        <v>320.2</v>
      </c>
      <c r="M94" s="49">
        <v>64.7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ht="15.75" customHeight="1" x14ac:dyDescent="0.25">
      <c r="A95" s="62">
        <v>2021</v>
      </c>
      <c r="B95" s="62">
        <v>12</v>
      </c>
      <c r="C95" s="51">
        <f t="shared" ref="C95" si="11">D95/B95</f>
        <v>12.891666666666666</v>
      </c>
      <c r="D95" s="51">
        <f t="shared" ref="D95" si="12">SUM(I95:T95)</f>
        <v>154.69999999999999</v>
      </c>
      <c r="E95" s="49">
        <v>1707.4</v>
      </c>
      <c r="F95" s="49">
        <f t="shared" ref="F95" si="13">E95/C95</f>
        <v>132.44214608920493</v>
      </c>
      <c r="G95" s="52">
        <f t="shared" ref="G95" si="14">C95/E95</f>
        <v>7.5504665963843651E-3</v>
      </c>
      <c r="I95" s="54">
        <v>0</v>
      </c>
      <c r="J95" s="54">
        <v>0</v>
      </c>
      <c r="K95" s="54">
        <v>0</v>
      </c>
      <c r="L95" s="54">
        <v>154.69999999999999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ht="15.75" customHeight="1" x14ac:dyDescent="0.25">
      <c r="A96" s="62">
        <v>2022</v>
      </c>
      <c r="B96" s="62">
        <v>12</v>
      </c>
      <c r="C96" s="51">
        <f t="shared" ref="C96" si="15">D96/B96</f>
        <v>22.908333333333331</v>
      </c>
      <c r="D96" s="51">
        <f t="shared" ref="D96" si="16">SUM(I96:T96)</f>
        <v>274.89999999999998</v>
      </c>
      <c r="E96" s="49">
        <v>1707.4</v>
      </c>
      <c r="F96" s="49">
        <f t="shared" ref="F96" si="17">E96/C96</f>
        <v>74.531829756275016</v>
      </c>
      <c r="G96" s="52">
        <f t="shared" ref="G96" si="18">C96/E96</f>
        <v>1.3417086408183981E-2</v>
      </c>
      <c r="I96" s="54">
        <v>0</v>
      </c>
      <c r="J96" s="54">
        <v>127.3</v>
      </c>
      <c r="K96" s="54">
        <v>147.6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ht="15.6" customHeight="1" x14ac:dyDescent="0.25">
      <c r="A97" s="62">
        <v>2023</v>
      </c>
      <c r="B97" s="62">
        <v>12</v>
      </c>
      <c r="C97" s="51">
        <f t="shared" ref="C97" si="19">D97/B97</f>
        <v>26.375</v>
      </c>
      <c r="D97" s="51">
        <f t="shared" ref="D97" si="20">SUM(I97:T97)</f>
        <v>316.5</v>
      </c>
      <c r="E97" s="49">
        <v>1707.4</v>
      </c>
      <c r="F97" s="49">
        <f t="shared" ref="F97" si="21">E97/C97</f>
        <v>64.735545023696687</v>
      </c>
      <c r="G97" s="52">
        <f t="shared" ref="G97" si="22">C97/E97</f>
        <v>1.5447463980320954E-2</v>
      </c>
      <c r="I97" s="54">
        <v>0</v>
      </c>
      <c r="J97" s="54">
        <v>0</v>
      </c>
      <c r="K97" s="54">
        <v>0</v>
      </c>
      <c r="L97" s="49">
        <v>0</v>
      </c>
      <c r="M97" s="49">
        <v>250.2</v>
      </c>
      <c r="N97" s="49">
        <v>66.3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ht="15.75" customHeight="1" x14ac:dyDescent="0.25">
      <c r="A98" s="62">
        <v>2024</v>
      </c>
      <c r="B98" s="62">
        <v>12</v>
      </c>
      <c r="C98" s="51">
        <f t="shared" ref="C98" si="23">D98/B98</f>
        <v>30.444086021505374</v>
      </c>
      <c r="D98" s="51">
        <f t="shared" ref="D98" si="24">SUM(I98:T98)</f>
        <v>365.3290322580645</v>
      </c>
      <c r="E98" s="49">
        <v>1707.4</v>
      </c>
      <c r="F98" s="49">
        <f t="shared" ref="F98" si="25">E98/C98</f>
        <v>56.083142019566992</v>
      </c>
      <c r="G98" s="52">
        <f t="shared" ref="G98" si="26">C98/E98</f>
        <v>1.7830670037194195E-2</v>
      </c>
      <c r="I98" s="54">
        <v>0</v>
      </c>
      <c r="J98" s="54">
        <v>0</v>
      </c>
      <c r="K98" s="54">
        <v>0</v>
      </c>
      <c r="L98" s="49">
        <v>0</v>
      </c>
      <c r="M98" s="49">
        <v>0</v>
      </c>
      <c r="N98" s="49">
        <v>0</v>
      </c>
      <c r="O98" s="49">
        <v>0</v>
      </c>
      <c r="P98" s="49">
        <v>353.12903225806451</v>
      </c>
      <c r="Q98" s="49">
        <v>12.2</v>
      </c>
      <c r="R98" s="49">
        <v>0</v>
      </c>
      <c r="S98" s="49">
        <v>0</v>
      </c>
      <c r="T98" s="49">
        <v>0</v>
      </c>
    </row>
    <row r="99" spans="1:20" ht="15.75" customHeight="1" x14ac:dyDescent="0.25">
      <c r="A99" s="16">
        <v>2025</v>
      </c>
      <c r="B99" s="9">
        <v>12</v>
      </c>
      <c r="C99" s="51">
        <f t="shared" ref="C99" si="27">D99/B99</f>
        <v>0</v>
      </c>
      <c r="D99" s="51">
        <f t="shared" ref="D99" si="28">SUM(I99:T99)</f>
        <v>0</v>
      </c>
      <c r="E99" s="49">
        <v>1707.4</v>
      </c>
      <c r="F99" s="49" t="e">
        <f t="shared" ref="F99" si="29">E99/C99</f>
        <v>#DIV/0!</v>
      </c>
      <c r="G99" s="52">
        <f t="shared" ref="G99" si="30">C99/E99</f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87"/>
  <sheetViews>
    <sheetView zoomScale="80" zoomScaleNormal="80" workbookViewId="0">
      <pane ySplit="1440" topLeftCell="A51" activePane="bottomLeft"/>
      <selection sqref="A1:XFD1048576"/>
      <selection pane="bottomLeft" activeCell="A87" sqref="A87:XFD87"/>
    </sheetView>
  </sheetViews>
  <sheetFormatPr defaultColWidth="9.109375" defaultRowHeight="15.75" customHeight="1" x14ac:dyDescent="0.25"/>
  <cols>
    <col min="1" max="2" width="9.33203125" style="40" bestFit="1" customWidth="1"/>
    <col min="3" max="4" width="9.33203125" style="55" bestFit="1" customWidth="1"/>
    <col min="5" max="5" width="10.109375" style="56" customWidth="1"/>
    <col min="6" max="6" width="9.33203125" style="56" bestFit="1" customWidth="1"/>
    <col min="7" max="7" width="9.5546875" style="57" bestFit="1" customWidth="1"/>
    <col min="8" max="8" width="9.109375" style="40"/>
    <col min="9" max="9" width="9.33203125" style="56" bestFit="1" customWidth="1"/>
    <col min="10" max="10" width="10.5546875" style="56" customWidth="1"/>
    <col min="11" max="16" width="9.33203125" style="56" bestFit="1" customWidth="1"/>
    <col min="17" max="17" width="12.44140625" style="56" customWidth="1"/>
    <col min="18" max="18" width="9.33203125" style="56" bestFit="1" customWidth="1"/>
    <col min="19" max="19" width="11.44140625" style="56" customWidth="1"/>
    <col min="20" max="20" width="11.88671875" style="56" customWidth="1"/>
    <col min="21" max="16384" width="9.109375" style="40"/>
  </cols>
  <sheetData>
    <row r="1" spans="1:20" ht="15" x14ac:dyDescent="0.25">
      <c r="A1" s="120" t="s">
        <v>78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7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92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53" customFormat="1" ht="15.75" customHeight="1" x14ac:dyDescent="0.25">
      <c r="A3" s="62">
        <v>1941</v>
      </c>
      <c r="B3" s="62">
        <v>12</v>
      </c>
      <c r="C3" s="51">
        <f>D3/B3</f>
        <v>1.7416666666666665</v>
      </c>
      <c r="D3" s="51">
        <f>SUM(I3:T3)</f>
        <v>20.9</v>
      </c>
      <c r="E3" s="49">
        <v>62.28</v>
      </c>
      <c r="F3" s="49">
        <f>E3/C3</f>
        <v>35.75885167464115</v>
      </c>
      <c r="G3" s="52">
        <f>C3/E3</f>
        <v>2.7965103832155853E-2</v>
      </c>
      <c r="H3" s="98"/>
      <c r="I3" s="49"/>
      <c r="J3" s="49"/>
      <c r="K3" s="49"/>
      <c r="L3" s="49"/>
      <c r="M3" s="49">
        <v>1.1000000000000001</v>
      </c>
      <c r="N3" s="49">
        <v>6</v>
      </c>
      <c r="O3" s="49">
        <v>2.8</v>
      </c>
      <c r="P3" s="49">
        <v>3</v>
      </c>
      <c r="Q3" s="49">
        <v>3.1</v>
      </c>
      <c r="R3" s="49">
        <v>1.7</v>
      </c>
      <c r="S3" s="49">
        <v>3.2</v>
      </c>
      <c r="T3" s="49">
        <v>0</v>
      </c>
    </row>
    <row r="4" spans="1:20" s="53" customFormat="1" ht="15.75" customHeight="1" x14ac:dyDescent="0.25">
      <c r="A4" s="62">
        <v>1942</v>
      </c>
      <c r="B4" s="62">
        <v>12</v>
      </c>
      <c r="C4" s="51">
        <f t="shared" ref="C4:C67" si="0">D4/B4</f>
        <v>1.8</v>
      </c>
      <c r="D4" s="51">
        <f t="shared" ref="D4:D67" si="1">SUM(I4:T4)</f>
        <v>21.6</v>
      </c>
      <c r="E4" s="49">
        <v>62.28</v>
      </c>
      <c r="F4" s="49">
        <f t="shared" ref="F4:F67" si="2">E4/C4</f>
        <v>34.6</v>
      </c>
      <c r="G4" s="52">
        <f t="shared" ref="G4:G67" si="3">C4/E4</f>
        <v>2.8901734104046242E-2</v>
      </c>
      <c r="H4" s="98"/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21.6</v>
      </c>
      <c r="T4" s="49">
        <v>0</v>
      </c>
    </row>
    <row r="5" spans="1:20" s="53" customFormat="1" ht="15.75" customHeight="1" x14ac:dyDescent="0.25">
      <c r="A5" s="62">
        <v>1943</v>
      </c>
      <c r="B5" s="62">
        <v>12</v>
      </c>
      <c r="C5" s="51">
        <f t="shared" si="0"/>
        <v>1.9416666666666664</v>
      </c>
      <c r="D5" s="51">
        <f t="shared" si="1"/>
        <v>23.299999999999997</v>
      </c>
      <c r="E5" s="49">
        <v>62.28</v>
      </c>
      <c r="F5" s="49">
        <f t="shared" si="2"/>
        <v>32.075536480686701</v>
      </c>
      <c r="G5" s="52">
        <f t="shared" si="3"/>
        <v>3.1176407621494321E-2</v>
      </c>
      <c r="H5" s="98"/>
      <c r="I5" s="49">
        <v>0</v>
      </c>
      <c r="J5" s="49">
        <v>0</v>
      </c>
      <c r="K5" s="49">
        <v>3.6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8.3000000000000007</v>
      </c>
      <c r="S5" s="49">
        <v>10</v>
      </c>
      <c r="T5" s="49">
        <v>1.4</v>
      </c>
    </row>
    <row r="6" spans="1:20" s="53" customFormat="1" ht="15.75" customHeight="1" x14ac:dyDescent="0.25">
      <c r="A6" s="62">
        <v>1944</v>
      </c>
      <c r="B6" s="62">
        <v>12</v>
      </c>
      <c r="C6" s="51">
        <f t="shared" si="0"/>
        <v>1.1500000000000001</v>
      </c>
      <c r="D6" s="51">
        <f t="shared" si="1"/>
        <v>13.8</v>
      </c>
      <c r="E6" s="49">
        <v>62.28</v>
      </c>
      <c r="F6" s="49">
        <f t="shared" si="2"/>
        <v>54.156521739130433</v>
      </c>
      <c r="G6" s="52">
        <f t="shared" si="3"/>
        <v>1.8464996788696213E-2</v>
      </c>
      <c r="H6" s="98"/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3.2</v>
      </c>
      <c r="R6" s="49">
        <v>0</v>
      </c>
      <c r="S6" s="49">
        <v>10.6</v>
      </c>
      <c r="T6" s="49">
        <v>0</v>
      </c>
    </row>
    <row r="7" spans="1:20" s="53" customFormat="1" ht="15.75" customHeight="1" x14ac:dyDescent="0.25">
      <c r="A7" s="62">
        <v>1945</v>
      </c>
      <c r="B7" s="62">
        <v>12</v>
      </c>
      <c r="C7" s="51">
        <f t="shared" si="0"/>
        <v>0.43333333333333335</v>
      </c>
      <c r="D7" s="51">
        <f t="shared" si="1"/>
        <v>5.2</v>
      </c>
      <c r="E7" s="49">
        <v>62.28</v>
      </c>
      <c r="F7" s="49">
        <f t="shared" si="2"/>
        <v>143.72307692307692</v>
      </c>
      <c r="G7" s="52">
        <f t="shared" si="3"/>
        <v>6.9578248769000218E-3</v>
      </c>
      <c r="H7" s="98"/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0.9</v>
      </c>
      <c r="S7" s="49">
        <v>4.3</v>
      </c>
      <c r="T7" s="49">
        <v>0</v>
      </c>
    </row>
    <row r="8" spans="1:20" s="53" customFormat="1" ht="15.75" customHeight="1" x14ac:dyDescent="0.25">
      <c r="A8" s="62">
        <v>1946</v>
      </c>
      <c r="B8" s="62">
        <v>12</v>
      </c>
      <c r="C8" s="51">
        <f t="shared" si="0"/>
        <v>2.8000000000000003</v>
      </c>
      <c r="D8" s="51">
        <f t="shared" si="1"/>
        <v>33.6</v>
      </c>
      <c r="E8" s="49">
        <v>62.28</v>
      </c>
      <c r="F8" s="49">
        <f t="shared" si="2"/>
        <v>22.24285714285714</v>
      </c>
      <c r="G8" s="52">
        <f t="shared" si="3"/>
        <v>4.4958253050738604E-2</v>
      </c>
      <c r="H8" s="98"/>
      <c r="I8" s="49">
        <v>0</v>
      </c>
      <c r="J8" s="49">
        <v>0.6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15.8</v>
      </c>
      <c r="S8" s="49">
        <v>17.2</v>
      </c>
      <c r="T8" s="49">
        <v>0</v>
      </c>
    </row>
    <row r="9" spans="1:20" s="53" customFormat="1" ht="15.75" customHeight="1" x14ac:dyDescent="0.25">
      <c r="A9" s="62">
        <v>1947</v>
      </c>
      <c r="B9" s="62">
        <v>12</v>
      </c>
      <c r="C9" s="51">
        <f t="shared" si="0"/>
        <v>0.2583333333333333</v>
      </c>
      <c r="D9" s="51">
        <f t="shared" si="1"/>
        <v>3.0999999999999996</v>
      </c>
      <c r="E9" s="49">
        <v>62.28</v>
      </c>
      <c r="F9" s="49">
        <f t="shared" si="2"/>
        <v>241.08387096774197</v>
      </c>
      <c r="G9" s="52">
        <f t="shared" si="3"/>
        <v>4.1479340612288586E-3</v>
      </c>
      <c r="H9" s="98"/>
      <c r="I9" s="49">
        <v>0</v>
      </c>
      <c r="J9" s="49">
        <v>0</v>
      </c>
      <c r="K9" s="49">
        <v>0</v>
      </c>
      <c r="L9" s="49">
        <v>0.8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2.2999999999999998</v>
      </c>
      <c r="T9" s="49">
        <v>0</v>
      </c>
    </row>
    <row r="10" spans="1:20" s="53" customFormat="1" ht="15.75" customHeight="1" x14ac:dyDescent="0.25">
      <c r="A10" s="62">
        <v>1948</v>
      </c>
      <c r="B10" s="62">
        <v>12</v>
      </c>
      <c r="C10" s="51">
        <f t="shared" si="0"/>
        <v>1.0916666666666666</v>
      </c>
      <c r="D10" s="51">
        <f t="shared" si="1"/>
        <v>13.1</v>
      </c>
      <c r="E10" s="49">
        <v>62.28</v>
      </c>
      <c r="F10" s="49">
        <f t="shared" si="2"/>
        <v>57.050381679389318</v>
      </c>
      <c r="G10" s="52">
        <f t="shared" si="3"/>
        <v>1.752836651680582E-2</v>
      </c>
      <c r="H10" s="98"/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4.0999999999999996</v>
      </c>
      <c r="S10" s="49">
        <v>9</v>
      </c>
      <c r="T10" s="49">
        <v>0</v>
      </c>
    </row>
    <row r="11" spans="1:20" s="53" customFormat="1" ht="15.75" customHeight="1" x14ac:dyDescent="0.25">
      <c r="A11" s="62">
        <v>1949</v>
      </c>
      <c r="B11" s="62">
        <v>12</v>
      </c>
      <c r="C11" s="51">
        <f t="shared" si="0"/>
        <v>0.3</v>
      </c>
      <c r="D11" s="51">
        <f t="shared" si="1"/>
        <v>3.6</v>
      </c>
      <c r="E11" s="49">
        <v>62.28</v>
      </c>
      <c r="F11" s="49">
        <f t="shared" si="2"/>
        <v>207.60000000000002</v>
      </c>
      <c r="G11" s="52">
        <f t="shared" si="3"/>
        <v>4.8169556840077067E-3</v>
      </c>
      <c r="H11" s="98"/>
      <c r="I11" s="49">
        <v>0</v>
      </c>
      <c r="J11" s="49">
        <v>0</v>
      </c>
      <c r="K11" s="49">
        <v>0</v>
      </c>
      <c r="L11" s="49">
        <v>2.6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1</v>
      </c>
      <c r="T11" s="49">
        <v>0</v>
      </c>
    </row>
    <row r="12" spans="1:20" s="53" customFormat="1" ht="15.75" customHeight="1" x14ac:dyDescent="0.25">
      <c r="A12" s="62">
        <v>1950</v>
      </c>
      <c r="B12" s="62">
        <v>12</v>
      </c>
      <c r="C12" s="51">
        <f t="shared" si="0"/>
        <v>4.1666666666666664E-2</v>
      </c>
      <c r="D12" s="51">
        <f t="shared" si="1"/>
        <v>0.5</v>
      </c>
      <c r="E12" s="49">
        <v>62.28</v>
      </c>
      <c r="F12" s="49">
        <f t="shared" si="2"/>
        <v>1494.72</v>
      </c>
      <c r="G12" s="52">
        <f t="shared" si="3"/>
        <v>6.6902162277884814E-4</v>
      </c>
      <c r="H12" s="98"/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0.5</v>
      </c>
      <c r="T12" s="49">
        <v>0</v>
      </c>
    </row>
    <row r="13" spans="1:20" s="53" customFormat="1" ht="15.75" customHeight="1" x14ac:dyDescent="0.25">
      <c r="A13" s="62">
        <v>1951</v>
      </c>
      <c r="B13" s="62">
        <v>12</v>
      </c>
      <c r="C13" s="51">
        <f t="shared" si="0"/>
        <v>0.33333333333333331</v>
      </c>
      <c r="D13" s="51">
        <f t="shared" si="1"/>
        <v>4</v>
      </c>
      <c r="E13" s="49">
        <v>62.28</v>
      </c>
      <c r="F13" s="49">
        <f t="shared" si="2"/>
        <v>186.84</v>
      </c>
      <c r="G13" s="52">
        <f t="shared" si="3"/>
        <v>5.3521729822307851E-3</v>
      </c>
      <c r="H13" s="98"/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4</v>
      </c>
      <c r="T13" s="49">
        <v>0</v>
      </c>
    </row>
    <row r="14" spans="1:20" s="53" customFormat="1" ht="15.75" customHeight="1" x14ac:dyDescent="0.25">
      <c r="A14" s="62">
        <v>1952</v>
      </c>
      <c r="B14" s="62">
        <v>12</v>
      </c>
      <c r="C14" s="51">
        <f t="shared" si="0"/>
        <v>0</v>
      </c>
      <c r="D14" s="51">
        <f t="shared" si="1"/>
        <v>0</v>
      </c>
      <c r="E14" s="49">
        <v>62.28</v>
      </c>
      <c r="F14" s="49" t="e">
        <f t="shared" si="2"/>
        <v>#DIV/0!</v>
      </c>
      <c r="G14" s="52">
        <f t="shared" si="3"/>
        <v>0</v>
      </c>
      <c r="H14" s="98"/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</row>
    <row r="15" spans="1:20" s="53" customFormat="1" ht="15.75" customHeight="1" x14ac:dyDescent="0.25">
      <c r="A15" s="62">
        <v>1953</v>
      </c>
      <c r="B15" s="62">
        <v>12</v>
      </c>
      <c r="C15" s="51">
        <f t="shared" si="0"/>
        <v>0</v>
      </c>
      <c r="D15" s="51">
        <f t="shared" si="1"/>
        <v>0</v>
      </c>
      <c r="E15" s="49">
        <v>62.28</v>
      </c>
      <c r="F15" s="49" t="e">
        <f t="shared" si="2"/>
        <v>#DIV/0!</v>
      </c>
      <c r="G15" s="52">
        <f t="shared" si="3"/>
        <v>0</v>
      </c>
      <c r="H15" s="98"/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</row>
    <row r="16" spans="1:20" s="53" customFormat="1" ht="15.75" customHeight="1" x14ac:dyDescent="0.25">
      <c r="A16" s="62">
        <v>1954</v>
      </c>
      <c r="B16" s="62">
        <v>12</v>
      </c>
      <c r="C16" s="51">
        <f t="shared" si="0"/>
        <v>3.0666666666666664</v>
      </c>
      <c r="D16" s="51">
        <f t="shared" si="1"/>
        <v>36.799999999999997</v>
      </c>
      <c r="E16" s="49">
        <v>62.28</v>
      </c>
      <c r="F16" s="49">
        <f t="shared" si="2"/>
        <v>20.308695652173913</v>
      </c>
      <c r="G16" s="52">
        <f t="shared" si="3"/>
        <v>4.9239991436523224E-2</v>
      </c>
      <c r="H16" s="98"/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3.8</v>
      </c>
      <c r="T16" s="49">
        <v>33</v>
      </c>
    </row>
    <row r="17" spans="1:20" s="53" customFormat="1" ht="15.75" customHeight="1" x14ac:dyDescent="0.25">
      <c r="A17" s="62">
        <v>1955</v>
      </c>
      <c r="B17" s="62">
        <v>12</v>
      </c>
      <c r="C17" s="51">
        <f t="shared" si="0"/>
        <v>2.9083333333333332</v>
      </c>
      <c r="D17" s="51">
        <f t="shared" si="1"/>
        <v>34.9</v>
      </c>
      <c r="E17" s="49">
        <v>62.28</v>
      </c>
      <c r="F17" s="49">
        <f t="shared" si="2"/>
        <v>21.414326647564472</v>
      </c>
      <c r="G17" s="52">
        <f t="shared" si="3"/>
        <v>4.6697709269963604E-2</v>
      </c>
      <c r="H17" s="98"/>
      <c r="I17" s="49">
        <v>0</v>
      </c>
      <c r="J17" s="49">
        <v>0</v>
      </c>
      <c r="K17" s="49">
        <v>0</v>
      </c>
      <c r="L17" s="49">
        <v>6.1</v>
      </c>
      <c r="M17" s="49">
        <v>0</v>
      </c>
      <c r="N17" s="49">
        <v>0</v>
      </c>
      <c r="O17" s="49">
        <v>0</v>
      </c>
      <c r="P17" s="49">
        <v>0</v>
      </c>
      <c r="Q17" s="49">
        <v>5.5</v>
      </c>
      <c r="R17" s="49">
        <v>22.2</v>
      </c>
      <c r="S17" s="49">
        <v>1.1000000000000001</v>
      </c>
      <c r="T17" s="49">
        <v>0</v>
      </c>
    </row>
    <row r="18" spans="1:20" s="53" customFormat="1" ht="15.75" customHeight="1" x14ac:dyDescent="0.25">
      <c r="A18" s="62">
        <v>1956</v>
      </c>
      <c r="B18" s="62">
        <v>12</v>
      </c>
      <c r="C18" s="51">
        <f t="shared" si="0"/>
        <v>1.95</v>
      </c>
      <c r="D18" s="51">
        <f t="shared" si="1"/>
        <v>23.4</v>
      </c>
      <c r="E18" s="49">
        <v>62.28</v>
      </c>
      <c r="F18" s="49">
        <f t="shared" si="2"/>
        <v>31.938461538461539</v>
      </c>
      <c r="G18" s="52">
        <f t="shared" si="3"/>
        <v>3.1310211946050097E-2</v>
      </c>
      <c r="H18" s="98"/>
      <c r="I18" s="49">
        <v>0</v>
      </c>
      <c r="J18" s="49">
        <v>0</v>
      </c>
      <c r="K18" s="49">
        <v>0</v>
      </c>
      <c r="L18" s="49">
        <v>0</v>
      </c>
      <c r="M18" s="49">
        <v>0.1</v>
      </c>
      <c r="N18" s="49">
        <v>0.1</v>
      </c>
      <c r="O18" s="49">
        <v>0</v>
      </c>
      <c r="P18" s="49">
        <v>18.5</v>
      </c>
      <c r="Q18" s="49">
        <v>0</v>
      </c>
      <c r="R18" s="49">
        <v>0</v>
      </c>
      <c r="S18" s="49">
        <v>4.7</v>
      </c>
      <c r="T18" s="49">
        <v>0</v>
      </c>
    </row>
    <row r="19" spans="1:20" s="53" customFormat="1" ht="15.75" customHeight="1" x14ac:dyDescent="0.25">
      <c r="A19" s="62">
        <v>1957</v>
      </c>
      <c r="B19" s="62">
        <v>12</v>
      </c>
      <c r="C19" s="51">
        <f t="shared" si="0"/>
        <v>3.2083333333333335</v>
      </c>
      <c r="D19" s="51">
        <f t="shared" si="1"/>
        <v>38.5</v>
      </c>
      <c r="E19" s="49">
        <v>62.28</v>
      </c>
      <c r="F19" s="49">
        <f t="shared" si="2"/>
        <v>19.411948051948052</v>
      </c>
      <c r="G19" s="52">
        <f t="shared" si="3"/>
        <v>5.1514664953971313E-2</v>
      </c>
      <c r="H19" s="98"/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0.5</v>
      </c>
      <c r="Q19" s="49">
        <v>0</v>
      </c>
      <c r="R19" s="49">
        <v>10.1</v>
      </c>
      <c r="S19" s="49">
        <v>27.9</v>
      </c>
      <c r="T19" s="49">
        <v>0</v>
      </c>
    </row>
    <row r="20" spans="1:20" s="53" customFormat="1" ht="15.75" customHeight="1" x14ac:dyDescent="0.25">
      <c r="A20" s="62">
        <v>1958</v>
      </c>
      <c r="B20" s="62">
        <v>12</v>
      </c>
      <c r="C20" s="51">
        <f t="shared" si="0"/>
        <v>0.75</v>
      </c>
      <c r="D20" s="51">
        <f t="shared" si="1"/>
        <v>9</v>
      </c>
      <c r="E20" s="49">
        <v>62.28</v>
      </c>
      <c r="F20" s="49">
        <f t="shared" si="2"/>
        <v>83.04</v>
      </c>
      <c r="G20" s="52">
        <f t="shared" si="3"/>
        <v>1.2042389210019268E-2</v>
      </c>
      <c r="H20" s="98"/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8.3000000000000007</v>
      </c>
      <c r="T20" s="49">
        <v>0.7</v>
      </c>
    </row>
    <row r="21" spans="1:20" s="53" customFormat="1" ht="15.75" customHeight="1" x14ac:dyDescent="0.25">
      <c r="A21" s="62">
        <v>1959</v>
      </c>
      <c r="B21" s="62">
        <v>12</v>
      </c>
      <c r="C21" s="51">
        <f t="shared" si="0"/>
        <v>1.1916666666666667</v>
      </c>
      <c r="D21" s="51">
        <f t="shared" si="1"/>
        <v>14.3</v>
      </c>
      <c r="E21" s="49">
        <v>62.28</v>
      </c>
      <c r="F21" s="49">
        <f t="shared" si="2"/>
        <v>52.262937062937063</v>
      </c>
      <c r="G21" s="52">
        <f t="shared" si="3"/>
        <v>1.9134018411475058E-2</v>
      </c>
      <c r="H21" s="98"/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14.3</v>
      </c>
      <c r="S21" s="49">
        <v>0</v>
      </c>
      <c r="T21" s="49">
        <v>0</v>
      </c>
    </row>
    <row r="22" spans="1:20" s="53" customFormat="1" ht="15.75" customHeight="1" x14ac:dyDescent="0.25">
      <c r="A22" s="62">
        <v>1960</v>
      </c>
      <c r="B22" s="62">
        <v>12</v>
      </c>
      <c r="C22" s="51">
        <f t="shared" si="0"/>
        <v>1.625</v>
      </c>
      <c r="D22" s="51">
        <f t="shared" si="1"/>
        <v>19.5</v>
      </c>
      <c r="E22" s="49">
        <v>62.28</v>
      </c>
      <c r="F22" s="49">
        <f t="shared" si="2"/>
        <v>38.326153846153844</v>
      </c>
      <c r="G22" s="52">
        <f t="shared" si="3"/>
        <v>2.6091843288375081E-2</v>
      </c>
      <c r="H22" s="98"/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9.4</v>
      </c>
      <c r="S22" s="49">
        <v>10.1</v>
      </c>
      <c r="T22" s="49">
        <v>0</v>
      </c>
    </row>
    <row r="23" spans="1:20" s="53" customFormat="1" ht="15.75" customHeight="1" x14ac:dyDescent="0.25">
      <c r="A23" s="62">
        <v>1961</v>
      </c>
      <c r="B23" s="62">
        <v>12</v>
      </c>
      <c r="C23" s="51">
        <f t="shared" si="0"/>
        <v>1.2833333333333334</v>
      </c>
      <c r="D23" s="51">
        <f t="shared" si="1"/>
        <v>15.4</v>
      </c>
      <c r="E23" s="49">
        <v>62.28</v>
      </c>
      <c r="F23" s="49">
        <f t="shared" si="2"/>
        <v>48.529870129870126</v>
      </c>
      <c r="G23" s="52">
        <f t="shared" si="3"/>
        <v>2.0605865981588527E-2</v>
      </c>
      <c r="H23" s="98"/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0.1</v>
      </c>
      <c r="S23" s="49">
        <v>15.3</v>
      </c>
      <c r="T23" s="49">
        <v>0</v>
      </c>
    </row>
    <row r="24" spans="1:20" s="53" customFormat="1" ht="15.75" customHeight="1" x14ac:dyDescent="0.25">
      <c r="A24" s="62">
        <v>1962</v>
      </c>
      <c r="B24" s="62">
        <v>12</v>
      </c>
      <c r="C24" s="51">
        <f t="shared" si="0"/>
        <v>2.0916666666666668</v>
      </c>
      <c r="D24" s="51">
        <f t="shared" si="1"/>
        <v>25.1</v>
      </c>
      <c r="E24" s="49">
        <v>62.28</v>
      </c>
      <c r="F24" s="49">
        <f t="shared" si="2"/>
        <v>29.775298804780874</v>
      </c>
      <c r="G24" s="52">
        <f t="shared" si="3"/>
        <v>3.3584885463498179E-2</v>
      </c>
      <c r="H24" s="98"/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25.1</v>
      </c>
      <c r="T24" s="49">
        <v>0</v>
      </c>
    </row>
    <row r="25" spans="1:20" s="53" customFormat="1" ht="15.75" customHeight="1" x14ac:dyDescent="0.25">
      <c r="A25" s="62">
        <v>1963</v>
      </c>
      <c r="B25" s="62">
        <v>12</v>
      </c>
      <c r="C25" s="51">
        <f t="shared" si="0"/>
        <v>1.1583333333333334</v>
      </c>
      <c r="D25" s="51">
        <f t="shared" si="1"/>
        <v>13.9</v>
      </c>
      <c r="E25" s="49">
        <v>62.28</v>
      </c>
      <c r="F25" s="49">
        <f t="shared" si="2"/>
        <v>53.766906474820139</v>
      </c>
      <c r="G25" s="52">
        <f t="shared" si="3"/>
        <v>1.8598801113251982E-2</v>
      </c>
      <c r="H25" s="98"/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2.5</v>
      </c>
      <c r="P25" s="49">
        <v>0</v>
      </c>
      <c r="Q25" s="49">
        <v>0</v>
      </c>
      <c r="R25" s="49">
        <v>2</v>
      </c>
      <c r="S25" s="49">
        <v>9.4</v>
      </c>
      <c r="T25" s="49">
        <v>0</v>
      </c>
    </row>
    <row r="26" spans="1:20" s="53" customFormat="1" ht="15.75" customHeight="1" x14ac:dyDescent="0.25">
      <c r="A26" s="62">
        <v>1964</v>
      </c>
      <c r="B26" s="62">
        <v>12</v>
      </c>
      <c r="C26" s="51">
        <f t="shared" si="0"/>
        <v>1.5833333333333333</v>
      </c>
      <c r="D26" s="51">
        <f t="shared" si="1"/>
        <v>19</v>
      </c>
      <c r="E26" s="49">
        <v>62.28</v>
      </c>
      <c r="F26" s="49">
        <f t="shared" si="2"/>
        <v>39.334736842105265</v>
      </c>
      <c r="G26" s="52">
        <f t="shared" si="3"/>
        <v>2.5422821665596229E-2</v>
      </c>
      <c r="H26" s="98"/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19</v>
      </c>
      <c r="T26" s="49">
        <v>0</v>
      </c>
    </row>
    <row r="27" spans="1:20" s="53" customFormat="1" ht="15.75" customHeight="1" x14ac:dyDescent="0.25">
      <c r="A27" s="62">
        <v>1965</v>
      </c>
      <c r="B27" s="62">
        <v>12</v>
      </c>
      <c r="C27" s="51">
        <f t="shared" si="0"/>
        <v>1.0833333333333333</v>
      </c>
      <c r="D27" s="51">
        <f t="shared" si="1"/>
        <v>13</v>
      </c>
      <c r="E27" s="49">
        <v>62.28</v>
      </c>
      <c r="F27" s="49">
        <f t="shared" si="2"/>
        <v>57.489230769230772</v>
      </c>
      <c r="G27" s="52">
        <f t="shared" si="3"/>
        <v>1.7394562192250052E-2</v>
      </c>
      <c r="H27" s="98"/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2.9</v>
      </c>
      <c r="Q27" s="49">
        <v>0</v>
      </c>
      <c r="R27" s="49">
        <v>1.3</v>
      </c>
      <c r="S27" s="49">
        <v>8.8000000000000007</v>
      </c>
      <c r="T27" s="49">
        <v>0</v>
      </c>
    </row>
    <row r="28" spans="1:20" s="53" customFormat="1" ht="15.75" customHeight="1" x14ac:dyDescent="0.25">
      <c r="A28" s="62">
        <v>1966</v>
      </c>
      <c r="B28" s="62">
        <v>12</v>
      </c>
      <c r="C28" s="51">
        <f t="shared" si="0"/>
        <v>0.3666666666666667</v>
      </c>
      <c r="D28" s="51">
        <f t="shared" si="1"/>
        <v>4.4000000000000004</v>
      </c>
      <c r="E28" s="49">
        <v>62.28</v>
      </c>
      <c r="F28" s="49">
        <f t="shared" si="2"/>
        <v>169.85454545454544</v>
      </c>
      <c r="G28" s="52">
        <f t="shared" si="3"/>
        <v>5.8873902804538643E-3</v>
      </c>
      <c r="H28" s="98"/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4.4000000000000004</v>
      </c>
      <c r="S28" s="49">
        <v>0</v>
      </c>
      <c r="T28" s="49">
        <v>0</v>
      </c>
    </row>
    <row r="29" spans="1:20" s="53" customFormat="1" ht="15.75" customHeight="1" x14ac:dyDescent="0.25">
      <c r="A29" s="62">
        <v>1967</v>
      </c>
      <c r="B29" s="62">
        <v>12</v>
      </c>
      <c r="C29" s="51">
        <f t="shared" si="0"/>
        <v>3.8666666666666671</v>
      </c>
      <c r="D29" s="51">
        <f t="shared" si="1"/>
        <v>46.400000000000006</v>
      </c>
      <c r="E29" s="49">
        <v>62.28</v>
      </c>
      <c r="F29" s="49">
        <f t="shared" si="2"/>
        <v>16.106896551724137</v>
      </c>
      <c r="G29" s="52">
        <f t="shared" si="3"/>
        <v>6.2085206593877118E-2</v>
      </c>
      <c r="H29" s="98"/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13.7</v>
      </c>
      <c r="S29" s="49">
        <v>32.700000000000003</v>
      </c>
      <c r="T29" s="49">
        <v>0</v>
      </c>
    </row>
    <row r="30" spans="1:20" s="53" customFormat="1" ht="15.75" customHeight="1" x14ac:dyDescent="0.25">
      <c r="A30" s="62">
        <v>1968</v>
      </c>
      <c r="B30" s="62">
        <v>12</v>
      </c>
      <c r="C30" s="51">
        <f t="shared" si="0"/>
        <v>3.0833333333333335</v>
      </c>
      <c r="D30" s="51">
        <f t="shared" si="1"/>
        <v>37</v>
      </c>
      <c r="E30" s="49">
        <v>62.28</v>
      </c>
      <c r="F30" s="49">
        <f t="shared" si="2"/>
        <v>20.198918918918917</v>
      </c>
      <c r="G30" s="52">
        <f t="shared" si="3"/>
        <v>4.9507600085634769E-2</v>
      </c>
      <c r="H30" s="98"/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15.4</v>
      </c>
      <c r="S30" s="49">
        <v>21.6</v>
      </c>
      <c r="T30" s="49">
        <v>0</v>
      </c>
    </row>
    <row r="31" spans="1:20" s="53" customFormat="1" ht="15.75" customHeight="1" x14ac:dyDescent="0.25">
      <c r="A31" s="62">
        <v>1969</v>
      </c>
      <c r="B31" s="62">
        <v>12</v>
      </c>
      <c r="C31" s="51">
        <f t="shared" si="0"/>
        <v>1.5416666666666667</v>
      </c>
      <c r="D31" s="51">
        <f t="shared" si="1"/>
        <v>18.5</v>
      </c>
      <c r="E31" s="49">
        <v>62.28</v>
      </c>
      <c r="F31" s="49">
        <f t="shared" si="2"/>
        <v>40.397837837837834</v>
      </c>
      <c r="G31" s="52">
        <f t="shared" si="3"/>
        <v>2.4753800042817384E-2</v>
      </c>
      <c r="H31" s="98"/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18.5</v>
      </c>
      <c r="T31" s="49">
        <v>0</v>
      </c>
    </row>
    <row r="32" spans="1:20" s="53" customFormat="1" ht="15.75" customHeight="1" x14ac:dyDescent="0.25">
      <c r="A32" s="62">
        <v>1970</v>
      </c>
      <c r="B32" s="62">
        <v>12</v>
      </c>
      <c r="C32" s="51">
        <f t="shared" si="0"/>
        <v>2.8666666666666667</v>
      </c>
      <c r="D32" s="51">
        <f t="shared" si="1"/>
        <v>34.4</v>
      </c>
      <c r="E32" s="49">
        <v>62.28</v>
      </c>
      <c r="F32" s="49">
        <f t="shared" si="2"/>
        <v>21.725581395348836</v>
      </c>
      <c r="G32" s="52">
        <f t="shared" si="3"/>
        <v>4.6028687647184756E-2</v>
      </c>
      <c r="H32" s="98"/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34.4</v>
      </c>
      <c r="S32" s="49">
        <v>0</v>
      </c>
      <c r="T32" s="49">
        <v>0</v>
      </c>
    </row>
    <row r="33" spans="1:20" s="53" customFormat="1" ht="15.75" customHeight="1" x14ac:dyDescent="0.25">
      <c r="A33" s="62">
        <v>1971</v>
      </c>
      <c r="B33" s="62">
        <v>12</v>
      </c>
      <c r="C33" s="51">
        <f t="shared" si="0"/>
        <v>0</v>
      </c>
      <c r="D33" s="51">
        <f t="shared" si="1"/>
        <v>0</v>
      </c>
      <c r="E33" s="49">
        <v>62.28</v>
      </c>
      <c r="F33" s="49" t="e">
        <f t="shared" si="2"/>
        <v>#DIV/0!</v>
      </c>
      <c r="G33" s="52">
        <f t="shared" si="3"/>
        <v>0</v>
      </c>
      <c r="H33" s="98"/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</row>
    <row r="34" spans="1:20" s="53" customFormat="1" ht="15.75" customHeight="1" x14ac:dyDescent="0.25">
      <c r="A34" s="62">
        <v>1972</v>
      </c>
      <c r="B34" s="62">
        <v>12</v>
      </c>
      <c r="C34" s="51">
        <f t="shared" si="0"/>
        <v>0</v>
      </c>
      <c r="D34" s="51">
        <f t="shared" si="1"/>
        <v>0</v>
      </c>
      <c r="E34" s="49">
        <v>62.28</v>
      </c>
      <c r="F34" s="49" t="e">
        <f t="shared" si="2"/>
        <v>#DIV/0!</v>
      </c>
      <c r="G34" s="52">
        <f t="shared" si="3"/>
        <v>0</v>
      </c>
      <c r="H34" s="98"/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</row>
    <row r="35" spans="1:20" s="53" customFormat="1" ht="15.75" customHeight="1" x14ac:dyDescent="0.25">
      <c r="A35" s="62">
        <v>1973</v>
      </c>
      <c r="B35" s="62">
        <v>12</v>
      </c>
      <c r="C35" s="51">
        <f t="shared" si="0"/>
        <v>0</v>
      </c>
      <c r="D35" s="51">
        <f t="shared" si="1"/>
        <v>0</v>
      </c>
      <c r="E35" s="49">
        <v>62.28</v>
      </c>
      <c r="F35" s="49" t="e">
        <f t="shared" si="2"/>
        <v>#DIV/0!</v>
      </c>
      <c r="G35" s="52">
        <f t="shared" si="3"/>
        <v>0</v>
      </c>
      <c r="H35" s="98"/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/>
      <c r="Q35" s="49"/>
      <c r="R35" s="49"/>
      <c r="S35" s="49"/>
      <c r="T35" s="49"/>
    </row>
    <row r="36" spans="1:20" s="53" customFormat="1" ht="15.75" customHeight="1" x14ac:dyDescent="0.25">
      <c r="A36" s="62">
        <v>1974</v>
      </c>
      <c r="B36" s="62"/>
      <c r="C36" s="51"/>
      <c r="D36" s="51"/>
      <c r="E36" s="49">
        <v>62.28</v>
      </c>
      <c r="F36" s="49"/>
      <c r="G36" s="52"/>
      <c r="H36" s="9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1:20" s="53" customFormat="1" ht="15.75" customHeight="1" x14ac:dyDescent="0.25">
      <c r="A37" s="62">
        <v>1975</v>
      </c>
      <c r="B37" s="62"/>
      <c r="C37" s="51"/>
      <c r="D37" s="51"/>
      <c r="E37" s="49">
        <v>62.28</v>
      </c>
      <c r="F37" s="49"/>
      <c r="G37" s="52"/>
      <c r="H37" s="9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</row>
    <row r="38" spans="1:20" s="53" customFormat="1" ht="15.75" customHeight="1" x14ac:dyDescent="0.25">
      <c r="A38" s="62">
        <v>1976</v>
      </c>
      <c r="B38" s="62"/>
      <c r="C38" s="51"/>
      <c r="D38" s="51"/>
      <c r="E38" s="49">
        <v>62.28</v>
      </c>
      <c r="F38" s="49"/>
      <c r="G38" s="52"/>
      <c r="H38" s="9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s="53" customFormat="1" ht="15.75" customHeight="1" x14ac:dyDescent="0.25">
      <c r="A39" s="62">
        <v>1977</v>
      </c>
      <c r="B39" s="62"/>
      <c r="C39" s="51"/>
      <c r="D39" s="51"/>
      <c r="E39" s="49">
        <v>62.28</v>
      </c>
      <c r="F39" s="49"/>
      <c r="G39" s="52"/>
      <c r="H39" s="98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 s="53" customFormat="1" ht="15.75" customHeight="1" x14ac:dyDescent="0.25">
      <c r="A40" s="62">
        <v>1978</v>
      </c>
      <c r="B40" s="62"/>
      <c r="C40" s="51"/>
      <c r="D40" s="51"/>
      <c r="E40" s="49">
        <v>62.28</v>
      </c>
      <c r="F40" s="49"/>
      <c r="G40" s="52"/>
      <c r="H40" s="9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</row>
    <row r="41" spans="1:20" s="53" customFormat="1" ht="15.75" customHeight="1" x14ac:dyDescent="0.25">
      <c r="A41" s="62">
        <v>1979</v>
      </c>
      <c r="B41" s="62"/>
      <c r="C41" s="51"/>
      <c r="D41" s="51"/>
      <c r="E41" s="49">
        <v>62.28</v>
      </c>
      <c r="F41" s="49"/>
      <c r="G41" s="52"/>
      <c r="H41" s="98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</row>
    <row r="42" spans="1:20" s="53" customFormat="1" ht="15.75" customHeight="1" x14ac:dyDescent="0.25">
      <c r="A42" s="62">
        <v>1980</v>
      </c>
      <c r="B42" s="62"/>
      <c r="C42" s="51"/>
      <c r="D42" s="51"/>
      <c r="E42" s="49">
        <v>62.28</v>
      </c>
      <c r="F42" s="49"/>
      <c r="G42" s="52"/>
      <c r="H42" s="9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</row>
    <row r="43" spans="1:20" s="53" customFormat="1" ht="15.75" customHeight="1" x14ac:dyDescent="0.25">
      <c r="A43" s="62">
        <v>1981</v>
      </c>
      <c r="B43" s="62"/>
      <c r="C43" s="51"/>
      <c r="D43" s="51"/>
      <c r="E43" s="49">
        <v>62.28</v>
      </c>
      <c r="F43" s="49"/>
      <c r="G43" s="52"/>
      <c r="H43" s="98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</row>
    <row r="44" spans="1:20" s="53" customFormat="1" ht="15.75" customHeight="1" x14ac:dyDescent="0.25">
      <c r="A44" s="62">
        <v>1982</v>
      </c>
      <c r="B44" s="62">
        <v>12</v>
      </c>
      <c r="C44" s="51">
        <f t="shared" si="0"/>
        <v>0</v>
      </c>
      <c r="D44" s="51">
        <f t="shared" si="1"/>
        <v>0</v>
      </c>
      <c r="E44" s="49">
        <v>62.28</v>
      </c>
      <c r="F44" s="49" t="e">
        <f t="shared" si="2"/>
        <v>#DIV/0!</v>
      </c>
      <c r="G44" s="52">
        <f t="shared" si="3"/>
        <v>0</v>
      </c>
      <c r="H44" s="9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>
        <v>0</v>
      </c>
      <c r="T44" s="49">
        <v>0</v>
      </c>
    </row>
    <row r="45" spans="1:20" s="53" customFormat="1" ht="15.75" customHeight="1" x14ac:dyDescent="0.25">
      <c r="A45" s="62">
        <v>1983</v>
      </c>
      <c r="B45" s="62">
        <v>12</v>
      </c>
      <c r="C45" s="51">
        <f t="shared" si="0"/>
        <v>0</v>
      </c>
      <c r="D45" s="51">
        <f t="shared" si="1"/>
        <v>0</v>
      </c>
      <c r="E45" s="49">
        <v>62.28</v>
      </c>
      <c r="F45" s="49" t="e">
        <f t="shared" si="2"/>
        <v>#DIV/0!</v>
      </c>
      <c r="G45" s="52">
        <f t="shared" si="3"/>
        <v>0</v>
      </c>
      <c r="H45" s="98"/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</row>
    <row r="46" spans="1:20" s="53" customFormat="1" ht="15.75" customHeight="1" x14ac:dyDescent="0.25">
      <c r="A46" s="62">
        <v>1984</v>
      </c>
      <c r="B46" s="62">
        <v>12</v>
      </c>
      <c r="C46" s="51">
        <f t="shared" si="0"/>
        <v>0</v>
      </c>
      <c r="D46" s="51">
        <f t="shared" si="1"/>
        <v>0</v>
      </c>
      <c r="E46" s="49">
        <v>62.28</v>
      </c>
      <c r="F46" s="49" t="e">
        <f t="shared" si="2"/>
        <v>#DIV/0!</v>
      </c>
      <c r="G46" s="52">
        <f t="shared" si="3"/>
        <v>0</v>
      </c>
      <c r="H46" s="98"/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</row>
    <row r="47" spans="1:20" s="53" customFormat="1" ht="15.75" customHeight="1" x14ac:dyDescent="0.25">
      <c r="A47" s="62">
        <v>1985</v>
      </c>
      <c r="B47" s="62">
        <v>12</v>
      </c>
      <c r="C47" s="51">
        <f t="shared" si="0"/>
        <v>0</v>
      </c>
      <c r="D47" s="51">
        <f t="shared" si="1"/>
        <v>0</v>
      </c>
      <c r="E47" s="49">
        <v>62.28</v>
      </c>
      <c r="F47" s="49" t="e">
        <f t="shared" si="2"/>
        <v>#DIV/0!</v>
      </c>
      <c r="G47" s="52">
        <f t="shared" si="3"/>
        <v>0</v>
      </c>
      <c r="H47" s="98"/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</row>
    <row r="48" spans="1:20" s="53" customFormat="1" ht="15.75" customHeight="1" x14ac:dyDescent="0.25">
      <c r="A48" s="62">
        <v>1986</v>
      </c>
      <c r="B48" s="62">
        <v>12</v>
      </c>
      <c r="C48" s="51">
        <f t="shared" si="0"/>
        <v>0</v>
      </c>
      <c r="D48" s="51">
        <f t="shared" si="1"/>
        <v>0</v>
      </c>
      <c r="E48" s="49">
        <v>62.28</v>
      </c>
      <c r="F48" s="49" t="e">
        <f t="shared" si="2"/>
        <v>#DIV/0!</v>
      </c>
      <c r="G48" s="52">
        <f t="shared" si="3"/>
        <v>0</v>
      </c>
      <c r="H48" s="98"/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0</v>
      </c>
      <c r="T48" s="49">
        <v>0</v>
      </c>
    </row>
    <row r="49" spans="1:20" s="53" customFormat="1" ht="15.75" customHeight="1" x14ac:dyDescent="0.25">
      <c r="A49" s="62">
        <v>1987</v>
      </c>
      <c r="B49" s="62">
        <v>12</v>
      </c>
      <c r="C49" s="51">
        <f t="shared" si="0"/>
        <v>0</v>
      </c>
      <c r="D49" s="51">
        <f t="shared" si="1"/>
        <v>0</v>
      </c>
      <c r="E49" s="49">
        <v>62.28</v>
      </c>
      <c r="F49" s="49" t="e">
        <f t="shared" si="2"/>
        <v>#DIV/0!</v>
      </c>
      <c r="G49" s="52">
        <f t="shared" si="3"/>
        <v>0</v>
      </c>
      <c r="H49" s="98"/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/>
      <c r="T49" s="49"/>
    </row>
    <row r="50" spans="1:20" s="53" customFormat="1" ht="15.75" customHeight="1" x14ac:dyDescent="0.25">
      <c r="A50" s="62">
        <v>1988</v>
      </c>
      <c r="B50" s="62">
        <v>12</v>
      </c>
      <c r="C50" s="51">
        <f t="shared" si="0"/>
        <v>5</v>
      </c>
      <c r="D50" s="51">
        <f t="shared" si="1"/>
        <v>60</v>
      </c>
      <c r="E50" s="49">
        <v>62.28</v>
      </c>
      <c r="F50" s="49">
        <f t="shared" si="2"/>
        <v>12.456</v>
      </c>
      <c r="G50" s="52">
        <f t="shared" si="3"/>
        <v>8.028259473346179E-2</v>
      </c>
      <c r="H50" s="9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>
        <v>30</v>
      </c>
      <c r="T50" s="49">
        <v>30</v>
      </c>
    </row>
    <row r="51" spans="1:20" s="53" customFormat="1" ht="15.75" customHeight="1" x14ac:dyDescent="0.25">
      <c r="A51" s="62">
        <v>1989</v>
      </c>
      <c r="B51" s="62">
        <v>12</v>
      </c>
      <c r="C51" s="51">
        <f t="shared" si="0"/>
        <v>5</v>
      </c>
      <c r="D51" s="51">
        <f t="shared" si="1"/>
        <v>60</v>
      </c>
      <c r="E51" s="49">
        <v>62.28</v>
      </c>
      <c r="F51" s="49">
        <f t="shared" si="2"/>
        <v>12.456</v>
      </c>
      <c r="G51" s="52">
        <f t="shared" si="3"/>
        <v>8.028259473346179E-2</v>
      </c>
      <c r="H51" s="98"/>
      <c r="I51" s="49">
        <v>30</v>
      </c>
      <c r="J51" s="49">
        <v>30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</row>
    <row r="52" spans="1:20" s="53" customFormat="1" ht="15.75" customHeight="1" x14ac:dyDescent="0.25">
      <c r="A52" s="62">
        <v>1990</v>
      </c>
      <c r="B52" s="62">
        <v>12</v>
      </c>
      <c r="C52" s="51">
        <f t="shared" si="0"/>
        <v>0</v>
      </c>
      <c r="D52" s="51">
        <f t="shared" si="1"/>
        <v>0</v>
      </c>
      <c r="E52" s="49">
        <v>62.28</v>
      </c>
      <c r="F52" s="49" t="e">
        <f t="shared" si="2"/>
        <v>#DIV/0!</v>
      </c>
      <c r="G52" s="52">
        <f t="shared" si="3"/>
        <v>0</v>
      </c>
      <c r="H52" s="98"/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</row>
    <row r="53" spans="1:20" s="53" customFormat="1" ht="15.75" customHeight="1" x14ac:dyDescent="0.25">
      <c r="A53" s="62">
        <v>1991</v>
      </c>
      <c r="B53" s="62">
        <v>12</v>
      </c>
      <c r="C53" s="51">
        <f t="shared" si="0"/>
        <v>0</v>
      </c>
      <c r="D53" s="51">
        <f t="shared" si="1"/>
        <v>0</v>
      </c>
      <c r="E53" s="49">
        <v>62.28</v>
      </c>
      <c r="F53" s="49" t="e">
        <f t="shared" si="2"/>
        <v>#DIV/0!</v>
      </c>
      <c r="G53" s="52">
        <f t="shared" si="3"/>
        <v>0</v>
      </c>
      <c r="H53" s="98"/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</row>
    <row r="54" spans="1:20" s="53" customFormat="1" ht="15.75" customHeight="1" x14ac:dyDescent="0.25">
      <c r="A54" s="62">
        <v>1992</v>
      </c>
      <c r="B54" s="62">
        <v>12</v>
      </c>
      <c r="C54" s="51">
        <f t="shared" si="0"/>
        <v>0</v>
      </c>
      <c r="D54" s="51">
        <f t="shared" si="1"/>
        <v>0</v>
      </c>
      <c r="E54" s="49">
        <v>62.28</v>
      </c>
      <c r="F54" s="49" t="e">
        <f t="shared" si="2"/>
        <v>#DIV/0!</v>
      </c>
      <c r="G54" s="52">
        <f t="shared" si="3"/>
        <v>0</v>
      </c>
      <c r="H54" s="98"/>
      <c r="I54" s="49">
        <v>0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</row>
    <row r="55" spans="1:20" s="53" customFormat="1" ht="15.75" customHeight="1" x14ac:dyDescent="0.25">
      <c r="A55" s="62">
        <v>1993</v>
      </c>
      <c r="B55" s="62">
        <v>12</v>
      </c>
      <c r="C55" s="51">
        <f t="shared" si="0"/>
        <v>0</v>
      </c>
      <c r="D55" s="51">
        <f t="shared" si="1"/>
        <v>0</v>
      </c>
      <c r="E55" s="49">
        <v>62.28</v>
      </c>
      <c r="F55" s="49" t="e">
        <f t="shared" si="2"/>
        <v>#DIV/0!</v>
      </c>
      <c r="G55" s="52">
        <f t="shared" si="3"/>
        <v>0</v>
      </c>
      <c r="H55" s="98"/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</row>
    <row r="56" spans="1:20" s="53" customFormat="1" ht="15.75" customHeight="1" x14ac:dyDescent="0.25">
      <c r="A56" s="62">
        <v>1994</v>
      </c>
      <c r="B56" s="62">
        <v>12</v>
      </c>
      <c r="C56" s="51">
        <f t="shared" si="0"/>
        <v>0</v>
      </c>
      <c r="D56" s="51">
        <f t="shared" si="1"/>
        <v>0</v>
      </c>
      <c r="E56" s="49">
        <v>62.28</v>
      </c>
      <c r="F56" s="49" t="e">
        <f t="shared" si="2"/>
        <v>#DIV/0!</v>
      </c>
      <c r="G56" s="52">
        <f t="shared" si="3"/>
        <v>0</v>
      </c>
      <c r="H56" s="98"/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</row>
    <row r="57" spans="1:20" s="53" customFormat="1" ht="15.75" customHeight="1" x14ac:dyDescent="0.25">
      <c r="A57" s="62">
        <v>1995</v>
      </c>
      <c r="B57" s="62">
        <v>12</v>
      </c>
      <c r="C57" s="51">
        <f t="shared" si="0"/>
        <v>0</v>
      </c>
      <c r="D57" s="51">
        <f t="shared" si="1"/>
        <v>0</v>
      </c>
      <c r="E57" s="49">
        <v>62.28</v>
      </c>
      <c r="F57" s="49" t="e">
        <f t="shared" si="2"/>
        <v>#DIV/0!</v>
      </c>
      <c r="G57" s="52">
        <f t="shared" si="3"/>
        <v>0</v>
      </c>
      <c r="H57" s="98"/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  <c r="T57" s="49">
        <v>0</v>
      </c>
    </row>
    <row r="58" spans="1:20" s="53" customFormat="1" ht="15.75" customHeight="1" x14ac:dyDescent="0.25">
      <c r="A58" s="62">
        <v>1996</v>
      </c>
      <c r="B58" s="62">
        <v>12</v>
      </c>
      <c r="C58" s="51">
        <f t="shared" si="0"/>
        <v>0</v>
      </c>
      <c r="D58" s="51">
        <f t="shared" si="1"/>
        <v>0</v>
      </c>
      <c r="E58" s="49">
        <v>62.28</v>
      </c>
      <c r="F58" s="49" t="e">
        <f t="shared" si="2"/>
        <v>#DIV/0!</v>
      </c>
      <c r="G58" s="52">
        <f t="shared" si="3"/>
        <v>0</v>
      </c>
      <c r="H58" s="98"/>
      <c r="I58" s="49">
        <v>0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>
        <v>0</v>
      </c>
      <c r="T58" s="49">
        <v>0</v>
      </c>
    </row>
    <row r="59" spans="1:20" s="53" customFormat="1" ht="15.75" customHeight="1" x14ac:dyDescent="0.25">
      <c r="A59" s="62">
        <v>1997</v>
      </c>
      <c r="B59" s="62">
        <v>12</v>
      </c>
      <c r="C59" s="51">
        <f t="shared" si="0"/>
        <v>0</v>
      </c>
      <c r="D59" s="51">
        <f t="shared" si="1"/>
        <v>0</v>
      </c>
      <c r="E59" s="49">
        <v>62.28</v>
      </c>
      <c r="F59" s="49" t="e">
        <f t="shared" si="2"/>
        <v>#DIV/0!</v>
      </c>
      <c r="G59" s="52">
        <f t="shared" si="3"/>
        <v>0</v>
      </c>
      <c r="H59" s="98"/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</row>
    <row r="60" spans="1:20" s="53" customFormat="1" ht="15.75" customHeight="1" x14ac:dyDescent="0.25">
      <c r="A60" s="62">
        <v>1998</v>
      </c>
      <c r="B60" s="62">
        <v>12</v>
      </c>
      <c r="C60" s="51">
        <f t="shared" si="0"/>
        <v>0</v>
      </c>
      <c r="D60" s="51">
        <f t="shared" si="1"/>
        <v>0</v>
      </c>
      <c r="E60" s="49">
        <v>62.28</v>
      </c>
      <c r="F60" s="49" t="e">
        <f t="shared" si="2"/>
        <v>#DIV/0!</v>
      </c>
      <c r="G60" s="52">
        <f t="shared" si="3"/>
        <v>0</v>
      </c>
      <c r="H60" s="98"/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</row>
    <row r="61" spans="1:20" s="53" customFormat="1" ht="15.75" customHeight="1" x14ac:dyDescent="0.25">
      <c r="A61" s="62">
        <v>1999</v>
      </c>
      <c r="B61" s="62">
        <v>12</v>
      </c>
      <c r="C61" s="51">
        <f t="shared" si="0"/>
        <v>0</v>
      </c>
      <c r="D61" s="51">
        <f t="shared" si="1"/>
        <v>0</v>
      </c>
      <c r="E61" s="49">
        <v>62.28</v>
      </c>
      <c r="F61" s="49" t="e">
        <f t="shared" si="2"/>
        <v>#DIV/0!</v>
      </c>
      <c r="G61" s="52">
        <f t="shared" si="3"/>
        <v>0</v>
      </c>
      <c r="H61" s="98"/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</row>
    <row r="62" spans="1:20" s="53" customFormat="1" ht="15.75" customHeight="1" x14ac:dyDescent="0.25">
      <c r="A62" s="62">
        <v>2000</v>
      </c>
      <c r="B62" s="62">
        <v>12</v>
      </c>
      <c r="C62" s="51">
        <f t="shared" si="0"/>
        <v>0</v>
      </c>
      <c r="D62" s="51">
        <f t="shared" si="1"/>
        <v>0</v>
      </c>
      <c r="E62" s="49">
        <v>62.28</v>
      </c>
      <c r="F62" s="49" t="e">
        <f t="shared" si="2"/>
        <v>#DIV/0!</v>
      </c>
      <c r="G62" s="52">
        <f t="shared" si="3"/>
        <v>0</v>
      </c>
      <c r="H62" s="98"/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</row>
    <row r="63" spans="1:20" s="53" customFormat="1" ht="15.75" customHeight="1" x14ac:dyDescent="0.25">
      <c r="A63" s="62">
        <v>2001</v>
      </c>
      <c r="B63" s="62">
        <v>12</v>
      </c>
      <c r="C63" s="51">
        <f t="shared" si="0"/>
        <v>0</v>
      </c>
      <c r="D63" s="51">
        <f t="shared" si="1"/>
        <v>0</v>
      </c>
      <c r="E63" s="49">
        <v>62.28</v>
      </c>
      <c r="F63" s="49" t="e">
        <f t="shared" si="2"/>
        <v>#DIV/0!</v>
      </c>
      <c r="G63" s="52">
        <f t="shared" si="3"/>
        <v>0</v>
      </c>
      <c r="H63" s="98"/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>
        <v>0</v>
      </c>
      <c r="T63" s="49">
        <v>0</v>
      </c>
    </row>
    <row r="64" spans="1:20" s="53" customFormat="1" ht="15.75" customHeight="1" x14ac:dyDescent="0.25">
      <c r="A64" s="62">
        <v>2002</v>
      </c>
      <c r="B64" s="62">
        <v>12</v>
      </c>
      <c r="C64" s="51">
        <f t="shared" si="0"/>
        <v>0</v>
      </c>
      <c r="D64" s="51">
        <f t="shared" si="1"/>
        <v>0</v>
      </c>
      <c r="E64" s="49">
        <v>62.28</v>
      </c>
      <c r="F64" s="49" t="e">
        <f t="shared" si="2"/>
        <v>#DIV/0!</v>
      </c>
      <c r="G64" s="52">
        <f t="shared" si="3"/>
        <v>0</v>
      </c>
      <c r="H64" s="98"/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0</v>
      </c>
      <c r="S64" s="49">
        <v>0</v>
      </c>
      <c r="T64" s="49">
        <v>0</v>
      </c>
    </row>
    <row r="65" spans="1:20" s="53" customFormat="1" ht="15.75" customHeight="1" x14ac:dyDescent="0.25">
      <c r="A65" s="62">
        <v>2003</v>
      </c>
      <c r="B65" s="62">
        <v>12</v>
      </c>
      <c r="C65" s="51">
        <f t="shared" si="0"/>
        <v>0</v>
      </c>
      <c r="D65" s="51">
        <f t="shared" si="1"/>
        <v>0</v>
      </c>
      <c r="E65" s="49">
        <v>62.28</v>
      </c>
      <c r="F65" s="49" t="e">
        <f t="shared" si="2"/>
        <v>#DIV/0!</v>
      </c>
      <c r="G65" s="52">
        <f t="shared" si="3"/>
        <v>0</v>
      </c>
      <c r="H65" s="98"/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</row>
    <row r="66" spans="1:20" s="53" customFormat="1" ht="15.75" customHeight="1" x14ac:dyDescent="0.25">
      <c r="A66" s="62">
        <v>2004</v>
      </c>
      <c r="B66" s="62">
        <v>12</v>
      </c>
      <c r="C66" s="51">
        <f t="shared" si="0"/>
        <v>0</v>
      </c>
      <c r="D66" s="51">
        <f t="shared" si="1"/>
        <v>0</v>
      </c>
      <c r="E66" s="49">
        <v>62.28</v>
      </c>
      <c r="F66" s="49" t="e">
        <f t="shared" si="2"/>
        <v>#DIV/0!</v>
      </c>
      <c r="G66" s="52">
        <f t="shared" si="3"/>
        <v>0</v>
      </c>
      <c r="H66" s="98"/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>
        <v>0</v>
      </c>
      <c r="T66" s="49">
        <v>0</v>
      </c>
    </row>
    <row r="67" spans="1:20" s="53" customFormat="1" ht="15.75" customHeight="1" x14ac:dyDescent="0.25">
      <c r="A67" s="62">
        <v>2005</v>
      </c>
      <c r="B67" s="62">
        <v>12</v>
      </c>
      <c r="C67" s="51">
        <f t="shared" si="0"/>
        <v>0</v>
      </c>
      <c r="D67" s="51">
        <f t="shared" si="1"/>
        <v>0</v>
      </c>
      <c r="E67" s="49">
        <v>62.28</v>
      </c>
      <c r="F67" s="49" t="e">
        <f t="shared" si="2"/>
        <v>#DIV/0!</v>
      </c>
      <c r="G67" s="52">
        <f t="shared" si="3"/>
        <v>0</v>
      </c>
      <c r="H67" s="98"/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>
        <v>0</v>
      </c>
      <c r="T67" s="49">
        <v>0</v>
      </c>
    </row>
    <row r="68" spans="1:20" s="53" customFormat="1" ht="15.75" customHeight="1" x14ac:dyDescent="0.25">
      <c r="A68" s="62">
        <v>2006</v>
      </c>
      <c r="B68" s="62">
        <v>12</v>
      </c>
      <c r="C68" s="51">
        <f t="shared" ref="C68:C73" si="4">D68/B68</f>
        <v>0</v>
      </c>
      <c r="D68" s="51">
        <f t="shared" ref="D68:D73" si="5">SUM(I68:T68)</f>
        <v>0</v>
      </c>
      <c r="E68" s="49">
        <v>62.28</v>
      </c>
      <c r="F68" s="49" t="e">
        <f t="shared" ref="F68:F74" si="6">E68/C68</f>
        <v>#DIV/0!</v>
      </c>
      <c r="G68" s="52">
        <f t="shared" ref="G68:G74" si="7">C68/E68</f>
        <v>0</v>
      </c>
      <c r="H68" s="98"/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9">
        <v>0</v>
      </c>
      <c r="T68" s="49">
        <v>0</v>
      </c>
    </row>
    <row r="69" spans="1:20" s="53" customFormat="1" ht="15.75" customHeight="1" x14ac:dyDescent="0.25">
      <c r="A69" s="62">
        <v>2007</v>
      </c>
      <c r="B69" s="62">
        <v>12</v>
      </c>
      <c r="C69" s="51">
        <f t="shared" si="4"/>
        <v>0.4916666666666667</v>
      </c>
      <c r="D69" s="51">
        <f t="shared" si="5"/>
        <v>5.9</v>
      </c>
      <c r="E69" s="49">
        <v>62.28</v>
      </c>
      <c r="F69" s="49">
        <f t="shared" si="6"/>
        <v>126.67118644067796</v>
      </c>
      <c r="G69" s="52">
        <f t="shared" si="7"/>
        <v>7.8944551487904087E-3</v>
      </c>
      <c r="H69" s="98"/>
      <c r="I69" s="49">
        <v>0</v>
      </c>
      <c r="J69" s="49">
        <v>0</v>
      </c>
      <c r="K69" s="49">
        <v>2.6</v>
      </c>
      <c r="L69" s="49">
        <v>0</v>
      </c>
      <c r="M69" s="49">
        <v>0</v>
      </c>
      <c r="N69" s="49">
        <v>0</v>
      </c>
      <c r="O69" s="49">
        <v>0</v>
      </c>
      <c r="P69" s="49">
        <v>0.6</v>
      </c>
      <c r="Q69" s="49">
        <v>1.2</v>
      </c>
      <c r="R69" s="49">
        <v>1.5</v>
      </c>
      <c r="S69" s="49">
        <v>0</v>
      </c>
      <c r="T69" s="49">
        <v>0</v>
      </c>
    </row>
    <row r="70" spans="1:20" s="53" customFormat="1" ht="15.75" customHeight="1" x14ac:dyDescent="0.25">
      <c r="A70" s="62">
        <v>2008</v>
      </c>
      <c r="B70" s="62">
        <v>12</v>
      </c>
      <c r="C70" s="51">
        <f t="shared" si="4"/>
        <v>0</v>
      </c>
      <c r="D70" s="51">
        <f t="shared" si="5"/>
        <v>0</v>
      </c>
      <c r="E70" s="49">
        <v>62.28</v>
      </c>
      <c r="F70" s="49" t="e">
        <f t="shared" si="6"/>
        <v>#DIV/0!</v>
      </c>
      <c r="G70" s="52">
        <f t="shared" si="7"/>
        <v>0</v>
      </c>
      <c r="H70" s="98"/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9">
        <v>0</v>
      </c>
      <c r="T70" s="49">
        <v>0</v>
      </c>
    </row>
    <row r="71" spans="1:20" s="53" customFormat="1" ht="15.75" customHeight="1" x14ac:dyDescent="0.25">
      <c r="A71" s="62">
        <v>2009</v>
      </c>
      <c r="B71" s="62">
        <v>12</v>
      </c>
      <c r="C71" s="51">
        <f t="shared" si="4"/>
        <v>1.3333333333333333</v>
      </c>
      <c r="D71" s="51">
        <f t="shared" si="5"/>
        <v>16</v>
      </c>
      <c r="E71" s="49">
        <v>62.28</v>
      </c>
      <c r="F71" s="49">
        <f t="shared" si="6"/>
        <v>46.71</v>
      </c>
      <c r="G71" s="52">
        <f t="shared" si="7"/>
        <v>2.140869192892314E-2</v>
      </c>
      <c r="H71" s="98"/>
      <c r="I71" s="49">
        <v>0</v>
      </c>
      <c r="J71" s="49">
        <v>1.8</v>
      </c>
      <c r="K71" s="49">
        <v>14.2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</row>
    <row r="72" spans="1:20" s="53" customFormat="1" ht="15.75" customHeight="1" x14ac:dyDescent="0.25">
      <c r="A72" s="62">
        <v>2010</v>
      </c>
      <c r="B72" s="62">
        <v>12</v>
      </c>
      <c r="C72" s="51">
        <f t="shared" si="4"/>
        <v>0.83333333333333337</v>
      </c>
      <c r="D72" s="51">
        <f t="shared" si="5"/>
        <v>10</v>
      </c>
      <c r="E72" s="49">
        <v>62.28</v>
      </c>
      <c r="F72" s="49">
        <f t="shared" si="6"/>
        <v>74.736000000000004</v>
      </c>
      <c r="G72" s="52">
        <f t="shared" si="7"/>
        <v>1.3380432455576964E-2</v>
      </c>
      <c r="H72" s="98"/>
      <c r="I72" s="49">
        <v>0</v>
      </c>
      <c r="J72" s="49">
        <v>0</v>
      </c>
      <c r="K72" s="49">
        <v>0</v>
      </c>
      <c r="L72" s="49">
        <v>10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</row>
    <row r="73" spans="1:20" s="53" customFormat="1" ht="15.75" customHeight="1" x14ac:dyDescent="0.25">
      <c r="A73" s="62">
        <v>2011</v>
      </c>
      <c r="B73" s="62">
        <v>12</v>
      </c>
      <c r="C73" s="51">
        <f t="shared" si="4"/>
        <v>3</v>
      </c>
      <c r="D73" s="51">
        <f t="shared" si="5"/>
        <v>36</v>
      </c>
      <c r="E73" s="49">
        <v>62.28</v>
      </c>
      <c r="F73" s="49">
        <f t="shared" si="6"/>
        <v>20.76</v>
      </c>
      <c r="G73" s="52">
        <f t="shared" si="7"/>
        <v>4.8169556840077073E-2</v>
      </c>
      <c r="I73" s="49">
        <v>36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</row>
    <row r="74" spans="1:20" s="53" customFormat="1" ht="15.75" customHeight="1" x14ac:dyDescent="0.25">
      <c r="A74" s="62">
        <v>2012</v>
      </c>
      <c r="B74" s="62">
        <v>12</v>
      </c>
      <c r="C74" s="51">
        <f t="shared" ref="C74:C82" si="8">D74/B74</f>
        <v>4.1666666666666664E-2</v>
      </c>
      <c r="D74" s="51">
        <f t="shared" ref="D74:D82" si="9">SUM(I74:T74)</f>
        <v>0.5</v>
      </c>
      <c r="E74" s="49">
        <v>62.28</v>
      </c>
      <c r="F74" s="49">
        <f t="shared" si="6"/>
        <v>1494.72</v>
      </c>
      <c r="G74" s="52">
        <f t="shared" si="7"/>
        <v>6.6902162277884814E-4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0.5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</row>
    <row r="75" spans="1:20" s="53" customFormat="1" ht="15.75" customHeight="1" x14ac:dyDescent="0.25">
      <c r="A75" s="62">
        <v>2013</v>
      </c>
      <c r="B75" s="62">
        <v>12</v>
      </c>
      <c r="C75" s="51">
        <f t="shared" si="8"/>
        <v>0</v>
      </c>
      <c r="D75" s="51">
        <f t="shared" si="9"/>
        <v>0</v>
      </c>
      <c r="E75" s="49">
        <v>62.28</v>
      </c>
      <c r="F75" s="49" t="e">
        <f t="shared" ref="F75:F82" si="10">E75/C75</f>
        <v>#DIV/0!</v>
      </c>
      <c r="G75" s="52">
        <f t="shared" ref="G75:G82" si="11">C75/E75</f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</row>
    <row r="76" spans="1:20" s="53" customFormat="1" ht="15.75" customHeight="1" x14ac:dyDescent="0.25">
      <c r="A76" s="62">
        <v>2014</v>
      </c>
      <c r="B76" s="62">
        <v>12</v>
      </c>
      <c r="C76" s="51">
        <f t="shared" si="8"/>
        <v>0</v>
      </c>
      <c r="D76" s="51">
        <f t="shared" si="9"/>
        <v>0</v>
      </c>
      <c r="E76" s="49">
        <v>62.28</v>
      </c>
      <c r="F76" s="49" t="e">
        <f t="shared" si="10"/>
        <v>#DIV/0!</v>
      </c>
      <c r="G76" s="52">
        <f t="shared" si="11"/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</row>
    <row r="77" spans="1:20" s="53" customFormat="1" ht="15.75" customHeight="1" x14ac:dyDescent="0.25">
      <c r="A77" s="62">
        <v>2015</v>
      </c>
      <c r="B77" s="62">
        <v>12</v>
      </c>
      <c r="C77" s="51">
        <f t="shared" si="8"/>
        <v>0</v>
      </c>
      <c r="D77" s="51">
        <f t="shared" si="9"/>
        <v>0</v>
      </c>
      <c r="E77" s="49">
        <v>62.28</v>
      </c>
      <c r="F77" s="49" t="e">
        <f t="shared" si="10"/>
        <v>#DIV/0!</v>
      </c>
      <c r="G77" s="52">
        <f t="shared" si="11"/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</row>
    <row r="78" spans="1:20" s="53" customFormat="1" ht="15.75" customHeight="1" x14ac:dyDescent="0.25">
      <c r="A78" s="62">
        <v>2016</v>
      </c>
      <c r="B78" s="62">
        <v>12</v>
      </c>
      <c r="C78" s="51">
        <f t="shared" si="8"/>
        <v>0</v>
      </c>
      <c r="D78" s="51">
        <f t="shared" si="9"/>
        <v>0</v>
      </c>
      <c r="E78" s="49">
        <v>62.28</v>
      </c>
      <c r="F78" s="49" t="e">
        <f t="shared" si="10"/>
        <v>#DIV/0!</v>
      </c>
      <c r="G78" s="52">
        <f t="shared" si="11"/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</row>
    <row r="79" spans="1:20" s="53" customFormat="1" ht="15.75" customHeight="1" x14ac:dyDescent="0.25">
      <c r="A79" s="62">
        <v>2017</v>
      </c>
      <c r="B79" s="62">
        <v>12</v>
      </c>
      <c r="C79" s="51">
        <f t="shared" si="8"/>
        <v>0</v>
      </c>
      <c r="D79" s="51">
        <f t="shared" si="9"/>
        <v>0</v>
      </c>
      <c r="E79" s="49">
        <v>62.28</v>
      </c>
      <c r="F79" s="49" t="e">
        <f t="shared" si="10"/>
        <v>#DIV/0!</v>
      </c>
      <c r="G79" s="52">
        <f t="shared" si="11"/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</row>
    <row r="80" spans="1:20" s="53" customFormat="1" ht="15.75" customHeight="1" x14ac:dyDescent="0.25">
      <c r="A80" s="62">
        <v>2018</v>
      </c>
      <c r="B80" s="62">
        <v>12</v>
      </c>
      <c r="C80" s="51">
        <f t="shared" si="8"/>
        <v>0</v>
      </c>
      <c r="D80" s="51">
        <f t="shared" si="9"/>
        <v>0</v>
      </c>
      <c r="E80" s="49">
        <v>62.28</v>
      </c>
      <c r="F80" s="49" t="e">
        <f t="shared" si="10"/>
        <v>#DIV/0!</v>
      </c>
      <c r="G80" s="52">
        <f t="shared" si="11"/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</row>
    <row r="81" spans="1:20" s="53" customFormat="1" ht="15.75" customHeight="1" x14ac:dyDescent="0.25">
      <c r="A81" s="62">
        <v>2019</v>
      </c>
      <c r="B81" s="62">
        <v>12</v>
      </c>
      <c r="C81" s="51">
        <f t="shared" si="8"/>
        <v>0</v>
      </c>
      <c r="D81" s="51">
        <f t="shared" si="9"/>
        <v>0</v>
      </c>
      <c r="E81" s="49">
        <v>62.28</v>
      </c>
      <c r="F81" s="49" t="e">
        <f t="shared" si="10"/>
        <v>#DIV/0!</v>
      </c>
      <c r="G81" s="52">
        <f t="shared" si="11"/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0</v>
      </c>
      <c r="S81" s="49">
        <v>0</v>
      </c>
      <c r="T81" s="49">
        <v>0</v>
      </c>
    </row>
    <row r="82" spans="1:20" s="53" customFormat="1" ht="15.75" customHeight="1" x14ac:dyDescent="0.25">
      <c r="A82" s="62">
        <v>2020</v>
      </c>
      <c r="B82" s="62">
        <v>12</v>
      </c>
      <c r="C82" s="51">
        <f t="shared" si="8"/>
        <v>0</v>
      </c>
      <c r="D82" s="51">
        <f t="shared" si="9"/>
        <v>0</v>
      </c>
      <c r="E82" s="49">
        <v>62.28</v>
      </c>
      <c r="F82" s="49" t="e">
        <f t="shared" si="10"/>
        <v>#DIV/0!</v>
      </c>
      <c r="G82" s="52">
        <f t="shared" si="11"/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</row>
    <row r="83" spans="1:20" ht="15.75" customHeight="1" x14ac:dyDescent="0.25">
      <c r="A83" s="58">
        <v>2021</v>
      </c>
      <c r="B83" s="62">
        <v>12</v>
      </c>
      <c r="C83" s="51">
        <f t="shared" ref="C83" si="12">D83/B83</f>
        <v>0</v>
      </c>
      <c r="D83" s="51">
        <f t="shared" ref="D83" si="13">SUM(I83:T83)</f>
        <v>0</v>
      </c>
      <c r="E83" s="49">
        <v>62.28</v>
      </c>
      <c r="F83" s="49" t="e">
        <f t="shared" ref="F83" si="14">E83/C83</f>
        <v>#DIV/0!</v>
      </c>
      <c r="G83" s="52">
        <f t="shared" ref="G83" si="15">C83/E83</f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</row>
    <row r="84" spans="1:20" ht="15.75" customHeight="1" x14ac:dyDescent="0.25">
      <c r="A84" s="58">
        <v>2022</v>
      </c>
      <c r="B84" s="62">
        <v>12</v>
      </c>
      <c r="C84" s="51">
        <f t="shared" ref="C84" si="16">D84/B84</f>
        <v>0</v>
      </c>
      <c r="D84" s="51">
        <f t="shared" ref="D84" si="17">SUM(I84:T84)</f>
        <v>0</v>
      </c>
      <c r="E84" s="49">
        <v>62.28</v>
      </c>
      <c r="F84" s="49" t="e">
        <f t="shared" ref="F84" si="18">E84/C84</f>
        <v>#DIV/0!</v>
      </c>
      <c r="G84" s="52">
        <f t="shared" ref="G84" si="19">C84/E84</f>
        <v>0</v>
      </c>
      <c r="I84" s="49">
        <v>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>
        <v>0</v>
      </c>
      <c r="T84" s="49">
        <v>0</v>
      </c>
    </row>
    <row r="85" spans="1:20" ht="15.75" customHeight="1" x14ac:dyDescent="0.25">
      <c r="A85" s="58">
        <v>2023</v>
      </c>
      <c r="B85" s="62">
        <v>12</v>
      </c>
      <c r="C85" s="51">
        <f t="shared" ref="C85" si="20">D85/B85</f>
        <v>0</v>
      </c>
      <c r="D85" s="51">
        <f t="shared" ref="D85" si="21">SUM(I85:T85)</f>
        <v>0</v>
      </c>
      <c r="E85" s="49">
        <v>62.28</v>
      </c>
      <c r="F85" s="49" t="e">
        <f t="shared" ref="F85" si="22">E85/C85</f>
        <v>#DIV/0!</v>
      </c>
      <c r="G85" s="52">
        <f t="shared" ref="G85" si="23">C85/E85</f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</row>
    <row r="86" spans="1:20" ht="15.75" customHeight="1" x14ac:dyDescent="0.25">
      <c r="A86" s="58">
        <v>2024</v>
      </c>
      <c r="B86" s="62">
        <v>12</v>
      </c>
      <c r="C86" s="51">
        <f t="shared" ref="C86" si="24">D86/B86</f>
        <v>0.84722222222222221</v>
      </c>
      <c r="D86" s="51">
        <f t="shared" ref="D86" si="25">SUM(I86:T86)</f>
        <v>10.166666666666666</v>
      </c>
      <c r="E86" s="49">
        <v>62.28</v>
      </c>
      <c r="F86" s="49">
        <f t="shared" ref="F86" si="26">E86/C86</f>
        <v>73.510819672131149</v>
      </c>
      <c r="G86" s="52">
        <f t="shared" ref="G86" si="27">C86/E86</f>
        <v>1.3603439663169913E-2</v>
      </c>
      <c r="I86" s="49">
        <v>0</v>
      </c>
      <c r="J86" s="49">
        <v>0</v>
      </c>
      <c r="K86" s="49">
        <v>0</v>
      </c>
      <c r="L86" s="49">
        <v>10.166666666666666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</row>
    <row r="87" spans="1:20" ht="15.75" customHeight="1" x14ac:dyDescent="0.25">
      <c r="A87" s="16">
        <v>2025</v>
      </c>
      <c r="B87" s="9">
        <v>12</v>
      </c>
      <c r="C87" s="51">
        <f>D87/B87</f>
        <v>0</v>
      </c>
      <c r="D87" s="51">
        <f>SUM(I87:T87)</f>
        <v>0</v>
      </c>
      <c r="E87" s="49">
        <v>62.28</v>
      </c>
      <c r="F87" s="49" t="e">
        <f t="shared" ref="F87" si="28">E87/C87</f>
        <v>#DIV/0!</v>
      </c>
      <c r="G87" s="52">
        <f t="shared" ref="G87" si="29">C87/E87</f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2"/>
  <sheetViews>
    <sheetView zoomScale="80" zoomScaleNormal="80" workbookViewId="0">
      <pane ySplit="1455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3"/>
  <cols>
    <col min="1" max="2" width="8.88671875" style="34" customWidth="1"/>
    <col min="3" max="4" width="9.109375" style="35" customWidth="1"/>
    <col min="5" max="5" width="10.88671875" style="33" customWidth="1"/>
    <col min="6" max="6" width="9.5546875" style="33" customWidth="1"/>
    <col min="7" max="7" width="9.5546875" style="36" bestFit="1" customWidth="1"/>
    <col min="8" max="8" width="7.109375" style="33" customWidth="1"/>
    <col min="9" max="9" width="9.44140625" style="33" customWidth="1"/>
    <col min="10" max="10" width="10.88671875" style="33" customWidth="1"/>
    <col min="11" max="16" width="9.33203125" style="33" bestFit="1" customWidth="1"/>
    <col min="17" max="17" width="12.5546875" style="33" customWidth="1"/>
    <col min="18" max="18" width="9.6640625" style="33" customWidth="1"/>
    <col min="19" max="19" width="11.88671875" style="33" customWidth="1"/>
    <col min="20" max="20" width="11.6640625" style="33" customWidth="1"/>
    <col min="21" max="16384" width="9.109375" style="2"/>
  </cols>
  <sheetData>
    <row r="1" spans="1:20" ht="15" customHeight="1" x14ac:dyDescent="0.3">
      <c r="A1" s="127" t="s">
        <v>29</v>
      </c>
      <c r="B1" s="127"/>
      <c r="C1" s="127"/>
      <c r="D1" s="127"/>
      <c r="E1" s="127"/>
      <c r="F1" s="127"/>
      <c r="G1" s="127"/>
      <c r="H1" s="21"/>
      <c r="I1" s="126" t="s">
        <v>14</v>
      </c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</row>
    <row r="2" spans="1:20" s="1" customFormat="1" ht="60.6" x14ac:dyDescent="0.3">
      <c r="A2" s="22" t="s">
        <v>0</v>
      </c>
      <c r="B2" s="22" t="s">
        <v>55</v>
      </c>
      <c r="C2" s="23" t="s">
        <v>56</v>
      </c>
      <c r="D2" s="23" t="s">
        <v>15</v>
      </c>
      <c r="E2" s="24" t="s">
        <v>53</v>
      </c>
      <c r="F2" s="24" t="s">
        <v>16</v>
      </c>
      <c r="G2" s="25" t="s">
        <v>54</v>
      </c>
      <c r="H2" s="26"/>
      <c r="I2" s="24" t="s">
        <v>17</v>
      </c>
      <c r="J2" s="24" t="s">
        <v>18</v>
      </c>
      <c r="K2" s="24" t="s">
        <v>19</v>
      </c>
      <c r="L2" s="24" t="s">
        <v>20</v>
      </c>
      <c r="M2" s="24" t="s">
        <v>21</v>
      </c>
      <c r="N2" s="24" t="s">
        <v>22</v>
      </c>
      <c r="O2" s="24" t="s">
        <v>23</v>
      </c>
      <c r="P2" s="24" t="s">
        <v>24</v>
      </c>
      <c r="Q2" s="24" t="s">
        <v>25</v>
      </c>
      <c r="R2" s="24" t="s">
        <v>26</v>
      </c>
      <c r="S2" s="24" t="s">
        <v>27</v>
      </c>
      <c r="T2" s="24" t="s">
        <v>28</v>
      </c>
    </row>
    <row r="3" spans="1:20" s="32" customFormat="1" ht="15.75" customHeight="1" x14ac:dyDescent="0.3">
      <c r="A3" s="27">
        <v>1916</v>
      </c>
      <c r="B3" s="27">
        <v>12</v>
      </c>
      <c r="C3" s="28">
        <f>D3/B3</f>
        <v>409.5</v>
      </c>
      <c r="D3" s="28">
        <f>SUM(I3:T3)</f>
        <v>4914</v>
      </c>
      <c r="E3" s="29">
        <v>3827.51</v>
      </c>
      <c r="F3" s="29">
        <f>E3/C3</f>
        <v>9.3467887667887677</v>
      </c>
      <c r="G3" s="30">
        <f>C3/E3</f>
        <v>0.10698861662020477</v>
      </c>
      <c r="H3" s="31"/>
      <c r="I3" s="29">
        <v>448</v>
      </c>
      <c r="J3" s="29">
        <v>448</v>
      </c>
      <c r="K3" s="29">
        <v>448</v>
      </c>
      <c r="L3" s="29">
        <v>402.9</v>
      </c>
      <c r="M3" s="29">
        <v>374.9</v>
      </c>
      <c r="N3" s="29">
        <v>403.7</v>
      </c>
      <c r="O3" s="29">
        <v>444.3</v>
      </c>
      <c r="P3" s="29">
        <v>420.6</v>
      </c>
      <c r="Q3" s="29">
        <v>389.3</v>
      </c>
      <c r="R3" s="29">
        <v>384.1</v>
      </c>
      <c r="S3" s="29">
        <v>367.3</v>
      </c>
      <c r="T3" s="29">
        <v>382.9</v>
      </c>
    </row>
    <row r="4" spans="1:20" s="32" customFormat="1" ht="15.75" customHeight="1" x14ac:dyDescent="0.3">
      <c r="A4" s="27">
        <v>1917</v>
      </c>
      <c r="B4" s="27">
        <v>12</v>
      </c>
      <c r="C4" s="28">
        <f t="shared" ref="C4:C67" si="0">D4/B4</f>
        <v>341.95000000000005</v>
      </c>
      <c r="D4" s="28">
        <f t="shared" ref="D4:D67" si="1">SUM(I4:T4)</f>
        <v>4103.4000000000005</v>
      </c>
      <c r="E4" s="29">
        <v>3827.51</v>
      </c>
      <c r="F4" s="29">
        <f t="shared" ref="F4:F67" si="2">E4/C4</f>
        <v>11.193186138324316</v>
      </c>
      <c r="G4" s="30">
        <f t="shared" ref="G4:G67" si="3">C4/E4</f>
        <v>8.9340067040974427E-2</v>
      </c>
      <c r="H4" s="31"/>
      <c r="I4" s="29">
        <v>402.4</v>
      </c>
      <c r="J4" s="29">
        <v>408</v>
      </c>
      <c r="K4" s="29">
        <v>404</v>
      </c>
      <c r="L4" s="29">
        <v>407.8</v>
      </c>
      <c r="M4" s="29">
        <v>399.2</v>
      </c>
      <c r="N4" s="29">
        <v>403</v>
      </c>
      <c r="O4" s="29">
        <v>268.39999999999998</v>
      </c>
      <c r="P4" s="29">
        <v>162.5</v>
      </c>
      <c r="Q4" s="29">
        <v>189</v>
      </c>
      <c r="R4" s="29">
        <v>219.4</v>
      </c>
      <c r="S4" s="29">
        <v>304.60000000000002</v>
      </c>
      <c r="T4" s="29">
        <v>535.1</v>
      </c>
    </row>
    <row r="5" spans="1:20" s="32" customFormat="1" ht="15.75" customHeight="1" x14ac:dyDescent="0.3">
      <c r="A5" s="27">
        <v>1918</v>
      </c>
      <c r="B5" s="27">
        <v>12</v>
      </c>
      <c r="C5" s="28">
        <f t="shared" si="0"/>
        <v>665.16666666666663</v>
      </c>
      <c r="D5" s="28">
        <f t="shared" si="1"/>
        <v>7982</v>
      </c>
      <c r="E5" s="29">
        <v>3827.51</v>
      </c>
      <c r="F5" s="29">
        <f t="shared" si="2"/>
        <v>5.7542119769481337</v>
      </c>
      <c r="G5" s="30">
        <f t="shared" si="3"/>
        <v>0.17378574234075589</v>
      </c>
      <c r="H5" s="31"/>
      <c r="I5" s="29">
        <v>569.29999999999995</v>
      </c>
      <c r="J5" s="29">
        <v>572.6</v>
      </c>
      <c r="K5" s="29">
        <v>575</v>
      </c>
      <c r="L5" s="29">
        <v>3909</v>
      </c>
      <c r="M5" s="29">
        <v>306.10000000000002</v>
      </c>
      <c r="N5" s="29">
        <v>308.39999999999998</v>
      </c>
      <c r="O5" s="29">
        <v>453.4</v>
      </c>
      <c r="P5" s="29">
        <v>323.8</v>
      </c>
      <c r="Q5" s="29">
        <v>196.3</v>
      </c>
      <c r="R5" s="29">
        <v>175.1</v>
      </c>
      <c r="S5" s="29">
        <v>239.4</v>
      </c>
      <c r="T5" s="29">
        <v>353.6</v>
      </c>
    </row>
    <row r="6" spans="1:20" s="32" customFormat="1" ht="15.75" customHeight="1" x14ac:dyDescent="0.3">
      <c r="A6" s="27">
        <v>1919</v>
      </c>
      <c r="B6" s="27">
        <v>12</v>
      </c>
      <c r="C6" s="28">
        <f t="shared" si="0"/>
        <v>276.76666666666671</v>
      </c>
      <c r="D6" s="28">
        <f t="shared" si="1"/>
        <v>3321.2000000000003</v>
      </c>
      <c r="E6" s="29">
        <v>3827.51</v>
      </c>
      <c r="F6" s="29">
        <f t="shared" si="2"/>
        <v>13.829374924726002</v>
      </c>
      <c r="G6" s="30">
        <f t="shared" si="3"/>
        <v>7.2309848090969506E-2</v>
      </c>
      <c r="H6" s="31"/>
      <c r="I6" s="29">
        <v>351.7</v>
      </c>
      <c r="J6" s="29">
        <v>350</v>
      </c>
      <c r="K6" s="29">
        <v>366.2</v>
      </c>
      <c r="L6" s="29">
        <v>380.3</v>
      </c>
      <c r="M6" s="29">
        <v>276.2</v>
      </c>
      <c r="N6" s="29">
        <v>231.3</v>
      </c>
      <c r="O6" s="29">
        <v>241.3</v>
      </c>
      <c r="P6" s="29">
        <v>224</v>
      </c>
      <c r="Q6" s="29">
        <v>228.3</v>
      </c>
      <c r="R6" s="29">
        <v>161.4</v>
      </c>
      <c r="S6" s="29">
        <v>250.2</v>
      </c>
      <c r="T6" s="29">
        <v>260.3</v>
      </c>
    </row>
    <row r="7" spans="1:20" s="32" customFormat="1" ht="15.75" customHeight="1" x14ac:dyDescent="0.3">
      <c r="A7" s="27">
        <v>1920</v>
      </c>
      <c r="B7" s="27">
        <v>12</v>
      </c>
      <c r="C7" s="28">
        <f t="shared" si="0"/>
        <v>390.11666666666662</v>
      </c>
      <c r="D7" s="28">
        <f t="shared" si="1"/>
        <v>4681.3999999999996</v>
      </c>
      <c r="E7" s="29">
        <v>3827.51</v>
      </c>
      <c r="F7" s="29">
        <f t="shared" si="2"/>
        <v>9.8111932327936113</v>
      </c>
      <c r="G7" s="30">
        <f t="shared" si="3"/>
        <v>0.10192440167802738</v>
      </c>
      <c r="H7" s="31"/>
      <c r="I7" s="29">
        <v>305</v>
      </c>
      <c r="J7" s="29">
        <v>409</v>
      </c>
      <c r="K7" s="29">
        <v>391.2</v>
      </c>
      <c r="L7" s="29">
        <v>425</v>
      </c>
      <c r="M7" s="29">
        <v>398.9</v>
      </c>
      <c r="N7" s="29">
        <v>375.2</v>
      </c>
      <c r="O7" s="29">
        <v>488.8</v>
      </c>
      <c r="P7" s="29">
        <v>323.39999999999998</v>
      </c>
      <c r="Q7" s="29">
        <v>329.4</v>
      </c>
      <c r="R7" s="29">
        <v>350.4</v>
      </c>
      <c r="S7" s="29">
        <v>427.9</v>
      </c>
      <c r="T7" s="29">
        <v>457.2</v>
      </c>
    </row>
    <row r="8" spans="1:20" s="32" customFormat="1" ht="15.75" customHeight="1" x14ac:dyDescent="0.3">
      <c r="A8" s="27">
        <v>1921</v>
      </c>
      <c r="B8" s="27">
        <v>12</v>
      </c>
      <c r="C8" s="28">
        <f t="shared" si="0"/>
        <v>417.23333333333329</v>
      </c>
      <c r="D8" s="28">
        <f t="shared" si="1"/>
        <v>5006.7999999999993</v>
      </c>
      <c r="E8" s="29">
        <v>3827.51</v>
      </c>
      <c r="F8" s="29">
        <f t="shared" si="2"/>
        <v>9.1735479747543351</v>
      </c>
      <c r="G8" s="30">
        <f t="shared" si="3"/>
        <v>0.10900907726781466</v>
      </c>
      <c r="H8" s="31"/>
      <c r="I8" s="29">
        <v>469.6</v>
      </c>
      <c r="J8" s="29">
        <v>462</v>
      </c>
      <c r="K8" s="29">
        <v>453.3</v>
      </c>
      <c r="L8" s="29">
        <v>462</v>
      </c>
      <c r="M8" s="29">
        <v>462.2</v>
      </c>
      <c r="N8" s="29">
        <v>426.5</v>
      </c>
      <c r="O8" s="29">
        <v>375.1</v>
      </c>
      <c r="P8" s="29">
        <v>360.6</v>
      </c>
      <c r="Q8" s="29">
        <v>379.6</v>
      </c>
      <c r="R8" s="29">
        <v>382.4</v>
      </c>
      <c r="S8" s="29">
        <v>392.1</v>
      </c>
      <c r="T8" s="29">
        <v>381.4</v>
      </c>
    </row>
    <row r="9" spans="1:20" s="32" customFormat="1" ht="15.75" customHeight="1" x14ac:dyDescent="0.3">
      <c r="A9" s="27">
        <v>1922</v>
      </c>
      <c r="B9" s="27">
        <v>12</v>
      </c>
      <c r="C9" s="28">
        <f t="shared" si="0"/>
        <v>431.31666666666666</v>
      </c>
      <c r="D9" s="28">
        <f t="shared" si="1"/>
        <v>5175.8</v>
      </c>
      <c r="E9" s="29">
        <v>3827.51</v>
      </c>
      <c r="F9" s="29">
        <f t="shared" si="2"/>
        <v>8.8740136790447863</v>
      </c>
      <c r="G9" s="30">
        <f t="shared" si="3"/>
        <v>0.11268857995581112</v>
      </c>
      <c r="H9" s="31"/>
      <c r="I9" s="29">
        <v>398</v>
      </c>
      <c r="J9" s="29">
        <v>458.7</v>
      </c>
      <c r="K9" s="29">
        <v>475.7</v>
      </c>
      <c r="L9" s="29">
        <v>547</v>
      </c>
      <c r="M9" s="29">
        <v>492.3</v>
      </c>
      <c r="N9" s="29">
        <v>379.2</v>
      </c>
      <c r="O9" s="29">
        <v>397</v>
      </c>
      <c r="P9" s="29">
        <v>396.9</v>
      </c>
      <c r="Q9" s="29">
        <v>390</v>
      </c>
      <c r="R9" s="29">
        <v>409.1</v>
      </c>
      <c r="S9" s="29">
        <v>420.9</v>
      </c>
      <c r="T9" s="29">
        <v>411</v>
      </c>
    </row>
    <row r="10" spans="1:20" s="32" customFormat="1" ht="15.75" customHeight="1" x14ac:dyDescent="0.3">
      <c r="A10" s="27">
        <v>1923</v>
      </c>
      <c r="B10" s="27">
        <v>12</v>
      </c>
      <c r="C10" s="28">
        <f t="shared" si="0"/>
        <v>435.44166666666666</v>
      </c>
      <c r="D10" s="28">
        <f t="shared" si="1"/>
        <v>5225.3</v>
      </c>
      <c r="E10" s="29">
        <v>3827.51</v>
      </c>
      <c r="F10" s="29">
        <f t="shared" si="2"/>
        <v>8.7899489024553628</v>
      </c>
      <c r="G10" s="30">
        <f t="shared" si="3"/>
        <v>0.11376630411590476</v>
      </c>
      <c r="H10" s="31"/>
      <c r="I10" s="29">
        <v>417.6</v>
      </c>
      <c r="J10" s="29">
        <v>421</v>
      </c>
      <c r="K10" s="29">
        <v>417.8</v>
      </c>
      <c r="L10" s="29">
        <v>470</v>
      </c>
      <c r="M10" s="29">
        <v>467.8</v>
      </c>
      <c r="N10" s="29">
        <v>456.6</v>
      </c>
      <c r="O10" s="29">
        <v>439.6</v>
      </c>
      <c r="P10" s="29">
        <v>444.9</v>
      </c>
      <c r="Q10" s="29">
        <v>444.2</v>
      </c>
      <c r="R10" s="29">
        <v>403.8</v>
      </c>
      <c r="S10" s="29">
        <v>421</v>
      </c>
      <c r="T10" s="29">
        <v>421</v>
      </c>
    </row>
    <row r="11" spans="1:20" s="32" customFormat="1" ht="15.75" customHeight="1" x14ac:dyDescent="0.3">
      <c r="A11" s="27">
        <v>1924</v>
      </c>
      <c r="B11" s="27">
        <v>12</v>
      </c>
      <c r="C11" s="28">
        <f t="shared" si="0"/>
        <v>356.4666666666667</v>
      </c>
      <c r="D11" s="28">
        <f t="shared" si="1"/>
        <v>4277.6000000000004</v>
      </c>
      <c r="E11" s="29">
        <v>3827.51</v>
      </c>
      <c r="F11" s="29">
        <f t="shared" si="2"/>
        <v>10.73735739667103</v>
      </c>
      <c r="G11" s="30">
        <f t="shared" si="3"/>
        <v>9.3132785196293852E-2</v>
      </c>
      <c r="H11" s="31"/>
      <c r="I11" s="29">
        <v>421</v>
      </c>
      <c r="J11" s="29">
        <v>428.8</v>
      </c>
      <c r="K11" s="29">
        <v>453.2</v>
      </c>
      <c r="L11" s="29">
        <v>480.8</v>
      </c>
      <c r="M11" s="29">
        <v>488.7</v>
      </c>
      <c r="N11" s="29">
        <v>494</v>
      </c>
      <c r="O11" s="29">
        <v>276.5</v>
      </c>
      <c r="P11" s="29">
        <v>265.39999999999998</v>
      </c>
      <c r="Q11" s="29">
        <v>267</v>
      </c>
      <c r="R11" s="29">
        <v>264.39999999999998</v>
      </c>
      <c r="S11" s="29">
        <v>221.8</v>
      </c>
      <c r="T11" s="29">
        <v>216</v>
      </c>
    </row>
    <row r="12" spans="1:20" s="32" customFormat="1" ht="15.75" customHeight="1" x14ac:dyDescent="0.3">
      <c r="A12" s="27">
        <v>1925</v>
      </c>
      <c r="B12" s="27">
        <v>12</v>
      </c>
      <c r="C12" s="28">
        <f t="shared" si="0"/>
        <v>354.72499999999997</v>
      </c>
      <c r="D12" s="28">
        <f t="shared" si="1"/>
        <v>4256.7</v>
      </c>
      <c r="E12" s="29">
        <v>3827.51</v>
      </c>
      <c r="F12" s="29">
        <f t="shared" si="2"/>
        <v>10.790076820071889</v>
      </c>
      <c r="G12" s="30">
        <f t="shared" si="3"/>
        <v>9.2677746106476513E-2</v>
      </c>
      <c r="H12" s="31"/>
      <c r="I12" s="29">
        <v>218.1</v>
      </c>
      <c r="J12" s="29">
        <v>218.2</v>
      </c>
      <c r="K12" s="29">
        <v>218</v>
      </c>
      <c r="L12" s="29">
        <v>232.9</v>
      </c>
      <c r="M12" s="29">
        <v>223.8</v>
      </c>
      <c r="N12" s="29">
        <v>213.3</v>
      </c>
      <c r="O12" s="29">
        <v>463.8</v>
      </c>
      <c r="P12" s="29">
        <v>412</v>
      </c>
      <c r="Q12" s="29">
        <v>430.4</v>
      </c>
      <c r="R12" s="29">
        <v>519.1</v>
      </c>
      <c r="S12" s="29">
        <v>572</v>
      </c>
      <c r="T12" s="29">
        <v>535.1</v>
      </c>
    </row>
    <row r="13" spans="1:20" s="32" customFormat="1" ht="15.75" customHeight="1" x14ac:dyDescent="0.3">
      <c r="A13" s="27">
        <v>1926</v>
      </c>
      <c r="B13" s="27">
        <v>12</v>
      </c>
      <c r="C13" s="28">
        <f t="shared" si="0"/>
        <v>546.40833333333342</v>
      </c>
      <c r="D13" s="28">
        <f t="shared" si="1"/>
        <v>6556.9000000000005</v>
      </c>
      <c r="E13" s="29">
        <v>3827.51</v>
      </c>
      <c r="F13" s="29">
        <f t="shared" si="2"/>
        <v>7.0048529030486959</v>
      </c>
      <c r="G13" s="30">
        <f t="shared" si="3"/>
        <v>0.14275817263268636</v>
      </c>
      <c r="H13" s="31"/>
      <c r="I13" s="29">
        <v>552.1</v>
      </c>
      <c r="J13" s="29">
        <v>639</v>
      </c>
      <c r="K13" s="29">
        <v>639</v>
      </c>
      <c r="L13" s="29">
        <v>619.70000000000005</v>
      </c>
      <c r="M13" s="29">
        <v>599.20000000000005</v>
      </c>
      <c r="N13" s="29">
        <v>590.29999999999995</v>
      </c>
      <c r="O13" s="29">
        <v>604.5</v>
      </c>
      <c r="P13" s="29">
        <v>471.5</v>
      </c>
      <c r="Q13" s="29">
        <v>450</v>
      </c>
      <c r="R13" s="29">
        <v>444.5</v>
      </c>
      <c r="S13" s="29">
        <v>459.1</v>
      </c>
      <c r="T13" s="29">
        <v>488</v>
      </c>
    </row>
    <row r="14" spans="1:20" s="32" customFormat="1" ht="15.75" customHeight="1" x14ac:dyDescent="0.3">
      <c r="A14" s="27">
        <v>1927</v>
      </c>
      <c r="B14" s="27">
        <v>12</v>
      </c>
      <c r="C14" s="28">
        <f t="shared" si="0"/>
        <v>473.07499999999999</v>
      </c>
      <c r="D14" s="28">
        <f t="shared" si="1"/>
        <v>5676.9</v>
      </c>
      <c r="E14" s="29">
        <v>3827.51</v>
      </c>
      <c r="F14" s="29">
        <f t="shared" si="2"/>
        <v>8.0907044337578622</v>
      </c>
      <c r="G14" s="30">
        <f t="shared" si="3"/>
        <v>0.12359863200879945</v>
      </c>
      <c r="H14" s="31"/>
      <c r="I14" s="29">
        <v>501</v>
      </c>
      <c r="J14" s="29">
        <v>684.8</v>
      </c>
      <c r="K14" s="29">
        <v>615</v>
      </c>
      <c r="L14" s="29">
        <v>536.9</v>
      </c>
      <c r="M14" s="29">
        <v>491.9</v>
      </c>
      <c r="N14" s="29">
        <v>490.5</v>
      </c>
      <c r="O14" s="29">
        <v>422.5</v>
      </c>
      <c r="P14" s="29">
        <v>380.3</v>
      </c>
      <c r="Q14" s="29">
        <v>361.6</v>
      </c>
      <c r="R14" s="29">
        <v>432.9</v>
      </c>
      <c r="S14" s="29">
        <v>427.1</v>
      </c>
      <c r="T14" s="29">
        <v>332.4</v>
      </c>
    </row>
    <row r="15" spans="1:20" s="32" customFormat="1" ht="15.75" customHeight="1" x14ac:dyDescent="0.3">
      <c r="A15" s="27">
        <v>1928</v>
      </c>
      <c r="B15" s="27">
        <v>12</v>
      </c>
      <c r="C15" s="28">
        <f t="shared" si="0"/>
        <v>302.95833333333331</v>
      </c>
      <c r="D15" s="28">
        <f t="shared" si="1"/>
        <v>3635.4999999999995</v>
      </c>
      <c r="E15" s="29">
        <v>3827.51</v>
      </c>
      <c r="F15" s="29">
        <f t="shared" si="2"/>
        <v>12.633783523586853</v>
      </c>
      <c r="G15" s="30">
        <f t="shared" si="3"/>
        <v>7.9152852202432733E-2</v>
      </c>
      <c r="H15" s="31"/>
      <c r="I15" s="29">
        <v>345.4</v>
      </c>
      <c r="J15" s="29">
        <v>347</v>
      </c>
      <c r="K15" s="29">
        <v>347</v>
      </c>
      <c r="L15" s="29">
        <v>340.1</v>
      </c>
      <c r="M15" s="29">
        <v>347</v>
      </c>
      <c r="N15" s="29">
        <v>337.2</v>
      </c>
      <c r="O15" s="29">
        <v>332.3</v>
      </c>
      <c r="P15" s="29">
        <v>335.5</v>
      </c>
      <c r="Q15" s="29">
        <v>336.9</v>
      </c>
      <c r="R15" s="29">
        <v>254.2</v>
      </c>
      <c r="S15" s="29">
        <v>129.69999999999999</v>
      </c>
      <c r="T15" s="29">
        <v>183.2</v>
      </c>
    </row>
    <row r="16" spans="1:20" s="32" customFormat="1" ht="15.75" customHeight="1" x14ac:dyDescent="0.3">
      <c r="A16" s="27">
        <v>1929</v>
      </c>
      <c r="B16" s="27">
        <v>12</v>
      </c>
      <c r="C16" s="28">
        <f t="shared" si="0"/>
        <v>220.81666666666663</v>
      </c>
      <c r="D16" s="28">
        <f t="shared" si="1"/>
        <v>2649.7999999999997</v>
      </c>
      <c r="E16" s="29">
        <v>3827.51</v>
      </c>
      <c r="F16" s="29">
        <f t="shared" si="2"/>
        <v>17.333428938033062</v>
      </c>
      <c r="G16" s="30">
        <f t="shared" si="3"/>
        <v>5.769198948315396E-2</v>
      </c>
      <c r="H16" s="31"/>
      <c r="I16" s="29">
        <v>201.4</v>
      </c>
      <c r="J16" s="29">
        <v>133</v>
      </c>
      <c r="K16" s="29">
        <v>168.3</v>
      </c>
      <c r="L16" s="29">
        <v>193.9</v>
      </c>
      <c r="M16" s="29">
        <v>174.7</v>
      </c>
      <c r="N16" s="29">
        <v>183</v>
      </c>
      <c r="O16" s="29">
        <v>240.1</v>
      </c>
      <c r="P16" s="29">
        <v>290.89999999999998</v>
      </c>
      <c r="Q16" s="29">
        <v>301</v>
      </c>
      <c r="R16" s="29">
        <v>290.7</v>
      </c>
      <c r="S16" s="29">
        <v>200.8</v>
      </c>
      <c r="T16" s="29">
        <v>272</v>
      </c>
    </row>
    <row r="17" spans="1:20" s="32" customFormat="1" ht="15.75" customHeight="1" x14ac:dyDescent="0.3">
      <c r="A17" s="27">
        <v>1930</v>
      </c>
      <c r="B17" s="27">
        <v>12</v>
      </c>
      <c r="C17" s="28">
        <f t="shared" si="0"/>
        <v>295.75833333333333</v>
      </c>
      <c r="D17" s="28">
        <f t="shared" si="1"/>
        <v>3549.1</v>
      </c>
      <c r="E17" s="29">
        <v>3827.51</v>
      </c>
      <c r="F17" s="29">
        <f t="shared" si="2"/>
        <v>12.941342875658618</v>
      </c>
      <c r="G17" s="30">
        <f t="shared" si="3"/>
        <v>7.7271733668451109E-2</v>
      </c>
      <c r="H17" s="31"/>
      <c r="I17" s="29">
        <v>276.10000000000002</v>
      </c>
      <c r="J17" s="29">
        <v>314</v>
      </c>
      <c r="K17" s="29">
        <v>326</v>
      </c>
      <c r="L17" s="29">
        <v>326</v>
      </c>
      <c r="M17" s="29">
        <v>326</v>
      </c>
      <c r="N17" s="29">
        <v>319.39999999999998</v>
      </c>
      <c r="O17" s="29">
        <v>310.5</v>
      </c>
      <c r="P17" s="29">
        <v>308</v>
      </c>
      <c r="Q17" s="29">
        <v>308</v>
      </c>
      <c r="R17" s="29">
        <v>271.89999999999998</v>
      </c>
      <c r="S17" s="29">
        <v>225.2</v>
      </c>
      <c r="T17" s="29">
        <v>238</v>
      </c>
    </row>
    <row r="18" spans="1:20" s="32" customFormat="1" ht="15.75" customHeight="1" x14ac:dyDescent="0.3">
      <c r="A18" s="27">
        <v>1931</v>
      </c>
      <c r="B18" s="27">
        <v>12</v>
      </c>
      <c r="C18" s="28">
        <f t="shared" si="0"/>
        <v>304.45</v>
      </c>
      <c r="D18" s="28">
        <f t="shared" si="1"/>
        <v>3653.4</v>
      </c>
      <c r="E18" s="29">
        <v>3827.51</v>
      </c>
      <c r="F18" s="29">
        <f t="shared" si="2"/>
        <v>12.571883724749549</v>
      </c>
      <c r="G18" s="30">
        <f t="shared" si="3"/>
        <v>7.9542574676486788E-2</v>
      </c>
      <c r="H18" s="31"/>
      <c r="I18" s="29">
        <v>266.5</v>
      </c>
      <c r="J18" s="29">
        <v>290</v>
      </c>
      <c r="K18" s="29">
        <v>297.10000000000002</v>
      </c>
      <c r="L18" s="29">
        <v>297.39999999999998</v>
      </c>
      <c r="M18" s="29">
        <v>296.2</v>
      </c>
      <c r="N18" s="29">
        <v>311</v>
      </c>
      <c r="O18" s="29">
        <v>318.2</v>
      </c>
      <c r="P18" s="29">
        <v>324</v>
      </c>
      <c r="Q18" s="29">
        <v>335</v>
      </c>
      <c r="R18" s="29">
        <v>305.10000000000002</v>
      </c>
      <c r="S18" s="29">
        <v>288.89999999999998</v>
      </c>
      <c r="T18" s="29">
        <v>324</v>
      </c>
    </row>
    <row r="19" spans="1:20" s="32" customFormat="1" ht="15.75" customHeight="1" x14ac:dyDescent="0.3">
      <c r="A19" s="27">
        <v>1932</v>
      </c>
      <c r="B19" s="27">
        <v>12</v>
      </c>
      <c r="C19" s="28">
        <f t="shared" si="0"/>
        <v>321.35833333333329</v>
      </c>
      <c r="D19" s="28">
        <f t="shared" si="1"/>
        <v>3856.2999999999997</v>
      </c>
      <c r="E19" s="29">
        <v>3827.51</v>
      </c>
      <c r="F19" s="29">
        <f t="shared" si="2"/>
        <v>11.910411534372328</v>
      </c>
      <c r="G19" s="30">
        <f t="shared" si="3"/>
        <v>8.3960155122607988E-2</v>
      </c>
      <c r="H19" s="31"/>
      <c r="I19" s="29">
        <v>324</v>
      </c>
      <c r="J19" s="29">
        <v>324</v>
      </c>
      <c r="K19" s="29">
        <v>324</v>
      </c>
      <c r="L19" s="29">
        <v>305.3</v>
      </c>
      <c r="M19" s="29">
        <v>327.3</v>
      </c>
      <c r="N19" s="29">
        <v>326</v>
      </c>
      <c r="O19" s="29">
        <v>344.6</v>
      </c>
      <c r="P19" s="29">
        <v>355</v>
      </c>
      <c r="Q19" s="29">
        <v>355</v>
      </c>
      <c r="R19" s="29">
        <v>339</v>
      </c>
      <c r="S19" s="29">
        <v>246.1</v>
      </c>
      <c r="T19" s="29">
        <v>286</v>
      </c>
    </row>
    <row r="20" spans="1:20" s="32" customFormat="1" ht="15.75" customHeight="1" x14ac:dyDescent="0.3">
      <c r="A20" s="27">
        <v>1933</v>
      </c>
      <c r="B20" s="27">
        <v>12</v>
      </c>
      <c r="C20" s="28">
        <f t="shared" si="0"/>
        <v>304.34999999999997</v>
      </c>
      <c r="D20" s="28">
        <f t="shared" si="1"/>
        <v>3652.2</v>
      </c>
      <c r="E20" s="29">
        <v>3827.51</v>
      </c>
      <c r="F20" s="29">
        <f t="shared" si="2"/>
        <v>12.576014457039594</v>
      </c>
      <c r="G20" s="30">
        <f t="shared" si="3"/>
        <v>7.9516448030181486E-2</v>
      </c>
      <c r="H20" s="31"/>
      <c r="I20" s="29">
        <v>301</v>
      </c>
      <c r="J20" s="29">
        <v>301</v>
      </c>
      <c r="K20" s="29">
        <v>285.3</v>
      </c>
      <c r="L20" s="29">
        <v>308.89999999999998</v>
      </c>
      <c r="M20" s="29">
        <v>319</v>
      </c>
      <c r="N20" s="29">
        <v>319</v>
      </c>
      <c r="O20" s="29">
        <v>341</v>
      </c>
      <c r="P20" s="29">
        <v>341</v>
      </c>
      <c r="Q20" s="29">
        <v>341</v>
      </c>
      <c r="R20" s="29">
        <v>290.10000000000002</v>
      </c>
      <c r="S20" s="29">
        <v>252.9</v>
      </c>
      <c r="T20" s="29">
        <v>252</v>
      </c>
    </row>
    <row r="21" spans="1:20" s="32" customFormat="1" ht="15.75" customHeight="1" x14ac:dyDescent="0.3">
      <c r="A21" s="27">
        <v>1934</v>
      </c>
      <c r="B21" s="27">
        <v>12</v>
      </c>
      <c r="C21" s="28">
        <f t="shared" si="0"/>
        <v>231.22499999999999</v>
      </c>
      <c r="D21" s="28">
        <f t="shared" si="1"/>
        <v>2774.7</v>
      </c>
      <c r="E21" s="29">
        <v>3827.51</v>
      </c>
      <c r="F21" s="29">
        <f t="shared" si="2"/>
        <v>16.553184128013839</v>
      </c>
      <c r="G21" s="30">
        <f t="shared" si="3"/>
        <v>6.0411337919430645E-2</v>
      </c>
      <c r="H21" s="31"/>
      <c r="I21" s="29">
        <v>262</v>
      </c>
      <c r="J21" s="29">
        <v>227</v>
      </c>
      <c r="K21" s="29">
        <v>227</v>
      </c>
      <c r="L21" s="29">
        <v>243</v>
      </c>
      <c r="M21" s="29">
        <v>238</v>
      </c>
      <c r="N21" s="29">
        <v>237.3</v>
      </c>
      <c r="O21" s="29">
        <v>242.3</v>
      </c>
      <c r="P21" s="29">
        <v>249</v>
      </c>
      <c r="Q21" s="29">
        <v>249</v>
      </c>
      <c r="R21" s="29">
        <v>173.4</v>
      </c>
      <c r="S21" s="29">
        <v>196.2</v>
      </c>
      <c r="T21" s="29">
        <v>230.5</v>
      </c>
    </row>
    <row r="22" spans="1:20" s="32" customFormat="1" ht="15.75" customHeight="1" x14ac:dyDescent="0.3">
      <c r="A22" s="27">
        <v>1935</v>
      </c>
      <c r="B22" s="27">
        <v>12</v>
      </c>
      <c r="C22" s="28">
        <f t="shared" si="0"/>
        <v>262.24166666666662</v>
      </c>
      <c r="D22" s="28">
        <f t="shared" si="1"/>
        <v>3146.8999999999996</v>
      </c>
      <c r="E22" s="29">
        <v>3827.51</v>
      </c>
      <c r="F22" s="29">
        <f t="shared" si="2"/>
        <v>14.595354158060317</v>
      </c>
      <c r="G22" s="30">
        <f t="shared" si="3"/>
        <v>6.8514952715124616E-2</v>
      </c>
      <c r="H22" s="31"/>
      <c r="I22" s="29">
        <v>244</v>
      </c>
      <c r="J22" s="29">
        <v>244</v>
      </c>
      <c r="K22" s="29">
        <v>244</v>
      </c>
      <c r="L22" s="29">
        <v>244</v>
      </c>
      <c r="M22" s="29">
        <v>244</v>
      </c>
      <c r="N22" s="29">
        <v>276.7</v>
      </c>
      <c r="O22" s="29">
        <v>340</v>
      </c>
      <c r="P22" s="29">
        <v>321.5</v>
      </c>
      <c r="Q22" s="29">
        <v>288</v>
      </c>
      <c r="R22" s="29">
        <v>276.7</v>
      </c>
      <c r="S22" s="29">
        <v>209</v>
      </c>
      <c r="T22" s="29">
        <v>215</v>
      </c>
    </row>
    <row r="23" spans="1:20" s="32" customFormat="1" ht="15.75" customHeight="1" x14ac:dyDescent="0.3">
      <c r="A23" s="27">
        <v>1936</v>
      </c>
      <c r="B23" s="27">
        <v>12</v>
      </c>
      <c r="C23" s="28">
        <f t="shared" si="0"/>
        <v>228.82500000000002</v>
      </c>
      <c r="D23" s="28">
        <f t="shared" si="1"/>
        <v>2745.9</v>
      </c>
      <c r="E23" s="29">
        <v>3827.51</v>
      </c>
      <c r="F23" s="29">
        <f t="shared" si="2"/>
        <v>16.726799956298482</v>
      </c>
      <c r="G23" s="30">
        <f t="shared" si="3"/>
        <v>5.978429840810344E-2</v>
      </c>
      <c r="H23" s="31"/>
      <c r="I23" s="29">
        <v>215</v>
      </c>
      <c r="J23" s="29">
        <v>215</v>
      </c>
      <c r="K23" s="29">
        <v>228.2</v>
      </c>
      <c r="L23" s="29">
        <v>239</v>
      </c>
      <c r="M23" s="29">
        <v>239</v>
      </c>
      <c r="N23" s="29">
        <v>239</v>
      </c>
      <c r="O23" s="29">
        <v>235.7</v>
      </c>
      <c r="P23" s="29">
        <v>233</v>
      </c>
      <c r="Q23" s="29">
        <v>233</v>
      </c>
      <c r="R23" s="29">
        <v>212.8</v>
      </c>
      <c r="S23" s="29">
        <v>217.2</v>
      </c>
      <c r="T23" s="29">
        <v>239</v>
      </c>
    </row>
    <row r="24" spans="1:20" s="32" customFormat="1" ht="15.75" customHeight="1" x14ac:dyDescent="0.3">
      <c r="A24" s="27">
        <v>1937</v>
      </c>
      <c r="B24" s="27">
        <v>12</v>
      </c>
      <c r="C24" s="28">
        <f t="shared" si="0"/>
        <v>228.96666666666667</v>
      </c>
      <c r="D24" s="28">
        <f t="shared" si="1"/>
        <v>2747.6</v>
      </c>
      <c r="E24" s="29">
        <v>3827.51</v>
      </c>
      <c r="F24" s="29">
        <f t="shared" si="2"/>
        <v>16.716450720628913</v>
      </c>
      <c r="G24" s="30">
        <f t="shared" si="3"/>
        <v>5.9821311157035949E-2</v>
      </c>
      <c r="H24" s="31"/>
      <c r="I24" s="29">
        <v>239</v>
      </c>
      <c r="J24" s="29">
        <v>239</v>
      </c>
      <c r="K24" s="29">
        <v>239</v>
      </c>
      <c r="L24" s="29">
        <v>239</v>
      </c>
      <c r="M24" s="29">
        <v>239</v>
      </c>
      <c r="N24" s="29">
        <v>239</v>
      </c>
      <c r="O24" s="29">
        <v>239</v>
      </c>
      <c r="P24" s="29">
        <v>239</v>
      </c>
      <c r="Q24" s="29">
        <v>239</v>
      </c>
      <c r="R24" s="29">
        <v>239</v>
      </c>
      <c r="S24" s="29">
        <v>181.6</v>
      </c>
      <c r="T24" s="29">
        <v>176</v>
      </c>
    </row>
    <row r="25" spans="1:20" s="32" customFormat="1" ht="15.75" customHeight="1" x14ac:dyDescent="0.3">
      <c r="A25" s="27">
        <v>1938</v>
      </c>
      <c r="B25" s="27">
        <v>12</v>
      </c>
      <c r="C25" s="28">
        <f t="shared" si="0"/>
        <v>182.7833333333333</v>
      </c>
      <c r="D25" s="28">
        <f t="shared" si="1"/>
        <v>2193.3999999999996</v>
      </c>
      <c r="E25" s="29">
        <v>3827.51</v>
      </c>
      <c r="F25" s="29">
        <f t="shared" si="2"/>
        <v>20.9401477158749</v>
      </c>
      <c r="G25" s="30">
        <f t="shared" si="3"/>
        <v>4.7755155005038075E-2</v>
      </c>
      <c r="H25" s="31"/>
      <c r="I25" s="29">
        <v>176</v>
      </c>
      <c r="J25" s="29">
        <v>176</v>
      </c>
      <c r="K25" s="29">
        <v>176</v>
      </c>
      <c r="L25" s="29">
        <v>176</v>
      </c>
      <c r="M25" s="29">
        <v>174.5</v>
      </c>
      <c r="N25" s="29">
        <v>174</v>
      </c>
      <c r="O25" s="29">
        <v>181.6</v>
      </c>
      <c r="P25" s="29">
        <v>195</v>
      </c>
      <c r="Q25" s="29">
        <v>195</v>
      </c>
      <c r="R25" s="29">
        <v>195</v>
      </c>
      <c r="S25" s="29">
        <v>189.3</v>
      </c>
      <c r="T25" s="29">
        <v>185</v>
      </c>
    </row>
    <row r="26" spans="1:20" s="32" customFormat="1" ht="15.75" customHeight="1" x14ac:dyDescent="0.3">
      <c r="A26" s="27">
        <v>1939</v>
      </c>
      <c r="B26" s="27">
        <v>12</v>
      </c>
      <c r="C26" s="28">
        <f t="shared" si="0"/>
        <v>193.33333333333334</v>
      </c>
      <c r="D26" s="28">
        <f t="shared" si="1"/>
        <v>2320</v>
      </c>
      <c r="E26" s="29">
        <v>3827.51</v>
      </c>
      <c r="F26" s="29">
        <f t="shared" si="2"/>
        <v>19.797465517241381</v>
      </c>
      <c r="G26" s="30">
        <f t="shared" si="3"/>
        <v>5.0511516190247269E-2</v>
      </c>
      <c r="H26" s="31"/>
      <c r="I26" s="29">
        <v>185</v>
      </c>
      <c r="J26" s="29">
        <v>185</v>
      </c>
      <c r="K26" s="29">
        <v>192.1</v>
      </c>
      <c r="L26" s="29">
        <v>204.1</v>
      </c>
      <c r="M26" s="29">
        <v>205</v>
      </c>
      <c r="N26" s="29">
        <v>205</v>
      </c>
      <c r="O26" s="29">
        <v>207.5</v>
      </c>
      <c r="P26" s="29">
        <v>207</v>
      </c>
      <c r="Q26" s="29">
        <v>207</v>
      </c>
      <c r="R26" s="29">
        <v>207</v>
      </c>
      <c r="S26" s="29">
        <v>156.9</v>
      </c>
      <c r="T26" s="29">
        <v>158.4</v>
      </c>
    </row>
    <row r="27" spans="1:20" s="32" customFormat="1" ht="15.75" customHeight="1" x14ac:dyDescent="0.3">
      <c r="A27" s="27">
        <v>1940</v>
      </c>
      <c r="B27" s="27">
        <v>12</v>
      </c>
      <c r="C27" s="28">
        <f t="shared" si="0"/>
        <v>122.97500000000001</v>
      </c>
      <c r="D27" s="28">
        <f t="shared" si="1"/>
        <v>1475.7</v>
      </c>
      <c r="E27" s="29">
        <v>3827.51</v>
      </c>
      <c r="F27" s="29">
        <f t="shared" si="2"/>
        <v>31.124293555600733</v>
      </c>
      <c r="G27" s="30">
        <f t="shared" si="3"/>
        <v>3.2129243293943059E-2</v>
      </c>
      <c r="H27" s="31"/>
      <c r="I27" s="29">
        <v>116</v>
      </c>
      <c r="J27" s="29">
        <v>119</v>
      </c>
      <c r="K27" s="29">
        <v>125.5</v>
      </c>
      <c r="L27" s="29">
        <v>130.30000000000001</v>
      </c>
      <c r="M27" s="29">
        <v>131</v>
      </c>
      <c r="N27" s="29">
        <v>131</v>
      </c>
      <c r="O27" s="29">
        <v>131</v>
      </c>
      <c r="P27" s="29">
        <v>131</v>
      </c>
      <c r="Q27" s="29">
        <v>131</v>
      </c>
      <c r="R27" s="29">
        <v>121.5</v>
      </c>
      <c r="S27" s="29">
        <v>70.400000000000006</v>
      </c>
      <c r="T27" s="29">
        <v>138</v>
      </c>
    </row>
    <row r="28" spans="1:20" s="32" customFormat="1" ht="15.75" customHeight="1" x14ac:dyDescent="0.3">
      <c r="A28" s="27">
        <v>1941</v>
      </c>
      <c r="B28" s="27">
        <v>12</v>
      </c>
      <c r="C28" s="28">
        <f t="shared" si="0"/>
        <v>129.44999999999999</v>
      </c>
      <c r="D28" s="28">
        <f t="shared" si="1"/>
        <v>1553.3999999999999</v>
      </c>
      <c r="E28" s="29">
        <v>3827.51</v>
      </c>
      <c r="F28" s="29">
        <f t="shared" si="2"/>
        <v>29.567477790652767</v>
      </c>
      <c r="G28" s="30">
        <f t="shared" si="3"/>
        <v>3.3820943642211249E-2</v>
      </c>
      <c r="H28" s="31"/>
      <c r="I28" s="29">
        <v>138</v>
      </c>
      <c r="J28" s="29">
        <v>138</v>
      </c>
      <c r="K28" s="29">
        <v>140.1</v>
      </c>
      <c r="L28" s="29">
        <v>146</v>
      </c>
      <c r="M28" s="29">
        <v>146</v>
      </c>
      <c r="N28" s="29">
        <v>145.5</v>
      </c>
      <c r="O28" s="29">
        <v>142</v>
      </c>
      <c r="P28" s="29">
        <v>139</v>
      </c>
      <c r="Q28" s="29">
        <v>140.69999999999999</v>
      </c>
      <c r="R28" s="29">
        <v>91.5</v>
      </c>
      <c r="S28" s="29">
        <v>58.5</v>
      </c>
      <c r="T28" s="29">
        <v>128.1</v>
      </c>
    </row>
    <row r="29" spans="1:20" s="32" customFormat="1" ht="15.75" customHeight="1" x14ac:dyDescent="0.3">
      <c r="A29" s="27">
        <v>1942</v>
      </c>
      <c r="B29" s="27">
        <v>12</v>
      </c>
      <c r="C29" s="28">
        <f t="shared" si="0"/>
        <v>136.39166666666668</v>
      </c>
      <c r="D29" s="28">
        <f t="shared" si="1"/>
        <v>1636.7</v>
      </c>
      <c r="E29" s="29">
        <v>3827.51</v>
      </c>
      <c r="F29" s="29">
        <f t="shared" si="2"/>
        <v>28.06263823547382</v>
      </c>
      <c r="G29" s="30">
        <f t="shared" si="3"/>
        <v>3.5634568339904187E-2</v>
      </c>
      <c r="H29" s="31"/>
      <c r="I29" s="29">
        <v>131</v>
      </c>
      <c r="J29" s="29">
        <v>131</v>
      </c>
      <c r="K29" s="29">
        <v>142</v>
      </c>
      <c r="L29" s="29">
        <v>156.19999999999999</v>
      </c>
      <c r="M29" s="29">
        <v>155</v>
      </c>
      <c r="N29" s="29">
        <v>155</v>
      </c>
      <c r="O29" s="29">
        <v>154.4</v>
      </c>
      <c r="P29" s="29">
        <v>154</v>
      </c>
      <c r="Q29" s="29">
        <v>154</v>
      </c>
      <c r="R29" s="29">
        <v>70.8</v>
      </c>
      <c r="S29" s="29">
        <v>99</v>
      </c>
      <c r="T29" s="29">
        <v>134.30000000000001</v>
      </c>
    </row>
    <row r="30" spans="1:20" s="32" customFormat="1" ht="15.75" customHeight="1" x14ac:dyDescent="0.3">
      <c r="A30" s="27">
        <v>1943</v>
      </c>
      <c r="B30" s="27">
        <v>12</v>
      </c>
      <c r="C30" s="28">
        <f t="shared" si="0"/>
        <v>132.44999999999999</v>
      </c>
      <c r="D30" s="28">
        <f t="shared" si="1"/>
        <v>1589.3999999999999</v>
      </c>
      <c r="E30" s="29">
        <v>3827.51</v>
      </c>
      <c r="F30" s="29">
        <f t="shared" si="2"/>
        <v>28.897772744431865</v>
      </c>
      <c r="G30" s="30">
        <f t="shared" si="3"/>
        <v>3.4604743031370261E-2</v>
      </c>
      <c r="H30" s="31"/>
      <c r="I30" s="29">
        <v>134</v>
      </c>
      <c r="J30" s="29">
        <v>134</v>
      </c>
      <c r="K30" s="29">
        <v>141.19999999999999</v>
      </c>
      <c r="L30" s="29">
        <v>142</v>
      </c>
      <c r="M30" s="29">
        <v>142</v>
      </c>
      <c r="N30" s="29">
        <v>142</v>
      </c>
      <c r="O30" s="29">
        <v>142</v>
      </c>
      <c r="P30" s="29">
        <v>140</v>
      </c>
      <c r="Q30" s="29">
        <v>151.6</v>
      </c>
      <c r="R30" s="29">
        <v>82.5</v>
      </c>
      <c r="S30" s="29">
        <v>112.5</v>
      </c>
      <c r="T30" s="29">
        <v>125.6</v>
      </c>
    </row>
    <row r="31" spans="1:20" s="32" customFormat="1" ht="15.75" customHeight="1" x14ac:dyDescent="0.3">
      <c r="A31" s="27">
        <v>1944</v>
      </c>
      <c r="B31" s="27">
        <v>12</v>
      </c>
      <c r="C31" s="28">
        <f t="shared" si="0"/>
        <v>131.48333333333335</v>
      </c>
      <c r="D31" s="28">
        <f t="shared" si="1"/>
        <v>1577.8000000000002</v>
      </c>
      <c r="E31" s="29">
        <v>3827.51</v>
      </c>
      <c r="F31" s="29">
        <f t="shared" si="2"/>
        <v>29.110229433388259</v>
      </c>
      <c r="G31" s="30">
        <f t="shared" si="3"/>
        <v>3.4352185450419029E-2</v>
      </c>
      <c r="H31" s="31"/>
      <c r="I31" s="29">
        <v>127</v>
      </c>
      <c r="J31" s="29">
        <v>129</v>
      </c>
      <c r="K31" s="29">
        <v>136.1</v>
      </c>
      <c r="L31" s="29">
        <v>139</v>
      </c>
      <c r="M31" s="29">
        <v>139</v>
      </c>
      <c r="N31" s="29">
        <v>139</v>
      </c>
      <c r="O31" s="29">
        <v>138.80000000000001</v>
      </c>
      <c r="P31" s="29">
        <v>139</v>
      </c>
      <c r="Q31" s="29">
        <v>133.4</v>
      </c>
      <c r="R31" s="29">
        <v>126.1</v>
      </c>
      <c r="S31" s="29">
        <v>101.4</v>
      </c>
      <c r="T31" s="29">
        <v>130</v>
      </c>
    </row>
    <row r="32" spans="1:20" s="32" customFormat="1" ht="15.75" customHeight="1" x14ac:dyDescent="0.3">
      <c r="A32" s="27">
        <v>1945</v>
      </c>
      <c r="B32" s="27">
        <v>12</v>
      </c>
      <c r="C32" s="28">
        <f t="shared" si="0"/>
        <v>129.70000000000002</v>
      </c>
      <c r="D32" s="28">
        <f t="shared" si="1"/>
        <v>1556.4</v>
      </c>
      <c r="E32" s="29">
        <v>3827.51</v>
      </c>
      <c r="F32" s="29">
        <f t="shared" si="2"/>
        <v>29.510485736314571</v>
      </c>
      <c r="G32" s="30">
        <f t="shared" si="3"/>
        <v>3.3886260257974511E-2</v>
      </c>
      <c r="H32" s="31"/>
      <c r="I32" s="29">
        <v>130</v>
      </c>
      <c r="J32" s="29">
        <v>130</v>
      </c>
      <c r="K32" s="29">
        <v>136.1</v>
      </c>
      <c r="L32" s="29">
        <v>138</v>
      </c>
      <c r="M32" s="29">
        <v>138</v>
      </c>
      <c r="N32" s="29">
        <v>138</v>
      </c>
      <c r="O32" s="29">
        <v>137.6</v>
      </c>
      <c r="P32" s="29">
        <v>137</v>
      </c>
      <c r="Q32" s="29">
        <v>137</v>
      </c>
      <c r="R32" s="29">
        <v>137</v>
      </c>
      <c r="S32" s="29">
        <v>90.5</v>
      </c>
      <c r="T32" s="29">
        <v>107.2</v>
      </c>
    </row>
    <row r="33" spans="1:20" s="32" customFormat="1" ht="15.75" customHeight="1" x14ac:dyDescent="0.3">
      <c r="A33" s="27">
        <v>1946</v>
      </c>
      <c r="B33" s="27">
        <v>12</v>
      </c>
      <c r="C33" s="28">
        <f t="shared" si="0"/>
        <v>105.85833333333333</v>
      </c>
      <c r="D33" s="28">
        <f t="shared" si="1"/>
        <v>1270.3</v>
      </c>
      <c r="E33" s="29">
        <v>3827.51</v>
      </c>
      <c r="F33" s="29">
        <f t="shared" si="2"/>
        <v>36.156907817051092</v>
      </c>
      <c r="G33" s="30">
        <f t="shared" si="3"/>
        <v>2.7657232334685821E-2</v>
      </c>
      <c r="H33" s="31"/>
      <c r="I33" s="29">
        <v>108.1</v>
      </c>
      <c r="J33" s="29">
        <v>109.2</v>
      </c>
      <c r="K33" s="29">
        <v>119.5</v>
      </c>
      <c r="L33" s="29">
        <v>120</v>
      </c>
      <c r="M33" s="29">
        <v>110.2</v>
      </c>
      <c r="N33" s="29">
        <v>117.9</v>
      </c>
      <c r="O33" s="29">
        <v>117.9</v>
      </c>
      <c r="P33" s="29">
        <v>117.4</v>
      </c>
      <c r="Q33" s="29">
        <v>117.7</v>
      </c>
      <c r="R33" s="29">
        <v>102.5</v>
      </c>
      <c r="S33" s="29">
        <v>37.9</v>
      </c>
      <c r="T33" s="29">
        <v>92</v>
      </c>
    </row>
    <row r="34" spans="1:20" s="32" customFormat="1" ht="15.75" customHeight="1" x14ac:dyDescent="0.3">
      <c r="A34" s="27">
        <v>1947</v>
      </c>
      <c r="B34" s="27">
        <v>12</v>
      </c>
      <c r="C34" s="28">
        <f t="shared" si="0"/>
        <v>98.90000000000002</v>
      </c>
      <c r="D34" s="28">
        <f t="shared" si="1"/>
        <v>1186.8000000000002</v>
      </c>
      <c r="E34" s="29">
        <v>3827.51</v>
      </c>
      <c r="F34" s="29">
        <f t="shared" si="2"/>
        <v>38.700808897876641</v>
      </c>
      <c r="G34" s="30">
        <f t="shared" si="3"/>
        <v>2.5839253195942012E-2</v>
      </c>
      <c r="H34" s="31"/>
      <c r="I34" s="29">
        <v>93.5</v>
      </c>
      <c r="J34" s="29">
        <v>94.8</v>
      </c>
      <c r="K34" s="29">
        <v>98.9</v>
      </c>
      <c r="L34" s="29">
        <v>101</v>
      </c>
      <c r="M34" s="29">
        <v>101</v>
      </c>
      <c r="N34" s="29">
        <v>100.1</v>
      </c>
      <c r="O34" s="29">
        <v>99.7</v>
      </c>
      <c r="P34" s="29">
        <v>100.1</v>
      </c>
      <c r="Q34" s="29">
        <v>99</v>
      </c>
      <c r="R34" s="29">
        <v>116.6</v>
      </c>
      <c r="S34" s="29">
        <v>73.900000000000006</v>
      </c>
      <c r="T34" s="29">
        <v>108.2</v>
      </c>
    </row>
    <row r="35" spans="1:20" s="32" customFormat="1" ht="15.75" customHeight="1" x14ac:dyDescent="0.3">
      <c r="A35" s="27">
        <v>1948</v>
      </c>
      <c r="B35" s="27">
        <v>12</v>
      </c>
      <c r="C35" s="28">
        <f t="shared" si="0"/>
        <v>104.80000000000001</v>
      </c>
      <c r="D35" s="28">
        <f t="shared" si="1"/>
        <v>1257.6000000000001</v>
      </c>
      <c r="E35" s="29">
        <v>3827.51</v>
      </c>
      <c r="F35" s="29">
        <f t="shared" si="2"/>
        <v>36.522041984732823</v>
      </c>
      <c r="G35" s="30">
        <f t="shared" si="3"/>
        <v>2.7380725327954727E-2</v>
      </c>
      <c r="H35" s="31"/>
      <c r="I35" s="29">
        <v>99</v>
      </c>
      <c r="J35" s="29">
        <v>99</v>
      </c>
      <c r="K35" s="29">
        <v>103</v>
      </c>
      <c r="L35" s="29">
        <v>101.2</v>
      </c>
      <c r="M35" s="29">
        <v>111.5</v>
      </c>
      <c r="N35" s="29">
        <v>117</v>
      </c>
      <c r="O35" s="29">
        <v>114.9</v>
      </c>
      <c r="P35" s="29">
        <v>115.6</v>
      </c>
      <c r="Q35" s="29">
        <v>115.1</v>
      </c>
      <c r="R35" s="29">
        <v>115</v>
      </c>
      <c r="S35" s="29">
        <v>73.099999999999994</v>
      </c>
      <c r="T35" s="29">
        <v>93.2</v>
      </c>
    </row>
    <row r="36" spans="1:20" s="32" customFormat="1" ht="15.75" customHeight="1" x14ac:dyDescent="0.3">
      <c r="A36" s="27">
        <v>1949</v>
      </c>
      <c r="B36" s="27">
        <v>12</v>
      </c>
      <c r="C36" s="28">
        <f t="shared" si="0"/>
        <v>108.51666666666667</v>
      </c>
      <c r="D36" s="28">
        <f t="shared" si="1"/>
        <v>1302.2</v>
      </c>
      <c r="E36" s="29">
        <v>3827.51</v>
      </c>
      <c r="F36" s="29">
        <f t="shared" si="2"/>
        <v>35.271171863001079</v>
      </c>
      <c r="G36" s="30">
        <f t="shared" si="3"/>
        <v>2.835176568230172E-2</v>
      </c>
      <c r="H36" s="31"/>
      <c r="I36" s="29">
        <v>93</v>
      </c>
      <c r="J36" s="29">
        <v>92.1</v>
      </c>
      <c r="K36" s="29">
        <v>98.3</v>
      </c>
      <c r="L36" s="29">
        <v>100.1</v>
      </c>
      <c r="M36" s="29">
        <v>99.9</v>
      </c>
      <c r="N36" s="29">
        <v>101.4</v>
      </c>
      <c r="O36" s="29">
        <v>95.6</v>
      </c>
      <c r="P36" s="29">
        <v>111.8</v>
      </c>
      <c r="Q36" s="29">
        <v>140.5</v>
      </c>
      <c r="R36" s="29">
        <v>144.30000000000001</v>
      </c>
      <c r="S36" s="29">
        <v>92.7</v>
      </c>
      <c r="T36" s="29">
        <v>132.5</v>
      </c>
    </row>
    <row r="37" spans="1:20" s="32" customFormat="1" ht="15.75" customHeight="1" x14ac:dyDescent="0.3">
      <c r="A37" s="27">
        <v>1950</v>
      </c>
      <c r="B37" s="27">
        <v>12</v>
      </c>
      <c r="C37" s="28">
        <f t="shared" si="0"/>
        <v>135.41666666666666</v>
      </c>
      <c r="D37" s="28">
        <f t="shared" si="1"/>
        <v>1625</v>
      </c>
      <c r="E37" s="29">
        <v>3827.51</v>
      </c>
      <c r="F37" s="29">
        <f t="shared" si="2"/>
        <v>28.264689230769235</v>
      </c>
      <c r="G37" s="30">
        <f t="shared" si="3"/>
        <v>3.5379833538427503E-2</v>
      </c>
      <c r="H37" s="31"/>
      <c r="I37" s="29">
        <v>132.30000000000001</v>
      </c>
      <c r="J37" s="29">
        <v>130.1</v>
      </c>
      <c r="K37" s="29">
        <v>137.1</v>
      </c>
      <c r="L37" s="29">
        <v>140.5</v>
      </c>
      <c r="M37" s="29">
        <v>138.1</v>
      </c>
      <c r="N37" s="29">
        <v>137</v>
      </c>
      <c r="O37" s="29">
        <v>140</v>
      </c>
      <c r="P37" s="29">
        <v>140.19999999999999</v>
      </c>
      <c r="Q37" s="29">
        <v>141.4</v>
      </c>
      <c r="R37" s="29">
        <v>142</v>
      </c>
      <c r="S37" s="29">
        <v>103.3</v>
      </c>
      <c r="T37" s="29">
        <v>143</v>
      </c>
    </row>
    <row r="38" spans="1:20" s="32" customFormat="1" ht="15.75" customHeight="1" x14ac:dyDescent="0.3">
      <c r="A38" s="27">
        <v>1951</v>
      </c>
      <c r="B38" s="27">
        <v>12</v>
      </c>
      <c r="C38" s="28">
        <f t="shared" si="0"/>
        <v>135.53333333333333</v>
      </c>
      <c r="D38" s="28">
        <f t="shared" si="1"/>
        <v>1626.3999999999999</v>
      </c>
      <c r="E38" s="29">
        <v>3827.51</v>
      </c>
      <c r="F38" s="29">
        <f t="shared" si="2"/>
        <v>28.24035907525824</v>
      </c>
      <c r="G38" s="30">
        <f t="shared" si="3"/>
        <v>3.5410314625783687E-2</v>
      </c>
      <c r="H38" s="31"/>
      <c r="I38" s="29">
        <v>142.19999999999999</v>
      </c>
      <c r="J38" s="29">
        <v>142</v>
      </c>
      <c r="K38" s="29">
        <v>148.30000000000001</v>
      </c>
      <c r="L38" s="29">
        <v>146.19999999999999</v>
      </c>
      <c r="M38" s="29">
        <v>138.80000000000001</v>
      </c>
      <c r="N38" s="29">
        <v>137.1</v>
      </c>
      <c r="O38" s="29">
        <v>136.30000000000001</v>
      </c>
      <c r="P38" s="29">
        <v>138</v>
      </c>
      <c r="Q38" s="29">
        <v>138.1</v>
      </c>
      <c r="R38" s="29">
        <v>143.1</v>
      </c>
      <c r="S38" s="29">
        <v>78.599999999999994</v>
      </c>
      <c r="T38" s="29">
        <v>137.69999999999999</v>
      </c>
    </row>
    <row r="39" spans="1:20" s="32" customFormat="1" ht="15.75" customHeight="1" x14ac:dyDescent="0.3">
      <c r="A39" s="27">
        <v>1952</v>
      </c>
      <c r="B39" s="27">
        <v>12</v>
      </c>
      <c r="C39" s="28">
        <f t="shared" si="0"/>
        <v>127.60000000000001</v>
      </c>
      <c r="D39" s="28">
        <f t="shared" si="1"/>
        <v>1531.2</v>
      </c>
      <c r="E39" s="29">
        <v>3827.51</v>
      </c>
      <c r="F39" s="29">
        <f t="shared" si="2"/>
        <v>29.99615987460815</v>
      </c>
      <c r="G39" s="30">
        <f t="shared" si="3"/>
        <v>3.3337600685563198E-2</v>
      </c>
      <c r="H39" s="31"/>
      <c r="I39" s="29">
        <v>138.19999999999999</v>
      </c>
      <c r="J39" s="29">
        <v>136</v>
      </c>
      <c r="K39" s="29">
        <v>142</v>
      </c>
      <c r="L39" s="29">
        <v>141.5</v>
      </c>
      <c r="M39" s="29">
        <v>140.9</v>
      </c>
      <c r="N39" s="29">
        <v>141.5</v>
      </c>
      <c r="O39" s="29">
        <v>141.80000000000001</v>
      </c>
      <c r="P39" s="29">
        <v>141.9</v>
      </c>
      <c r="Q39" s="29">
        <v>139</v>
      </c>
      <c r="R39" s="29">
        <v>91.3</v>
      </c>
      <c r="S39" s="29">
        <v>57.1</v>
      </c>
      <c r="T39" s="29">
        <v>120</v>
      </c>
    </row>
    <row r="40" spans="1:20" s="32" customFormat="1" ht="15.75" customHeight="1" x14ac:dyDescent="0.3">
      <c r="A40" s="27">
        <v>1953</v>
      </c>
      <c r="B40" s="27">
        <v>12</v>
      </c>
      <c r="C40" s="28">
        <f t="shared" si="0"/>
        <v>112.73333333333331</v>
      </c>
      <c r="D40" s="28">
        <f t="shared" si="1"/>
        <v>1352.7999999999997</v>
      </c>
      <c r="E40" s="29">
        <v>3827.51</v>
      </c>
      <c r="F40" s="29">
        <f t="shared" si="2"/>
        <v>33.951892371377895</v>
      </c>
      <c r="G40" s="30">
        <f t="shared" si="3"/>
        <v>2.9453439268175209E-2</v>
      </c>
      <c r="H40" s="31"/>
      <c r="I40" s="29">
        <v>117</v>
      </c>
      <c r="J40" s="29">
        <v>117</v>
      </c>
      <c r="K40" s="29">
        <v>114.7</v>
      </c>
      <c r="L40" s="29">
        <v>116.3</v>
      </c>
      <c r="M40" s="29">
        <v>115.8</v>
      </c>
      <c r="N40" s="29">
        <v>116.4</v>
      </c>
      <c r="O40" s="29">
        <v>119</v>
      </c>
      <c r="P40" s="29">
        <v>119</v>
      </c>
      <c r="Q40" s="29">
        <v>117</v>
      </c>
      <c r="R40" s="29">
        <v>109.8</v>
      </c>
      <c r="S40" s="29">
        <v>92.2</v>
      </c>
      <c r="T40" s="29">
        <v>98.6</v>
      </c>
    </row>
    <row r="41" spans="1:20" s="32" customFormat="1" ht="15.75" customHeight="1" x14ac:dyDescent="0.3">
      <c r="A41" s="27">
        <v>1954</v>
      </c>
      <c r="B41" s="27">
        <v>12</v>
      </c>
      <c r="C41" s="28">
        <f t="shared" si="0"/>
        <v>92.725000000000009</v>
      </c>
      <c r="D41" s="28">
        <f t="shared" si="1"/>
        <v>1112.7</v>
      </c>
      <c r="E41" s="29">
        <v>3827.51</v>
      </c>
      <c r="F41" s="29">
        <f t="shared" si="2"/>
        <v>41.278080345106495</v>
      </c>
      <c r="G41" s="30">
        <f t="shared" si="3"/>
        <v>2.4225932786589716E-2</v>
      </c>
      <c r="H41" s="31"/>
      <c r="I41" s="29">
        <v>97.6</v>
      </c>
      <c r="J41" s="29">
        <v>98</v>
      </c>
      <c r="K41" s="29">
        <v>105.4</v>
      </c>
      <c r="L41" s="29">
        <v>113.6</v>
      </c>
      <c r="M41" s="29">
        <v>112.6</v>
      </c>
      <c r="N41" s="29">
        <v>95.7</v>
      </c>
      <c r="O41" s="29">
        <v>78</v>
      </c>
      <c r="P41" s="29">
        <v>77.8</v>
      </c>
      <c r="Q41" s="29">
        <v>98</v>
      </c>
      <c r="R41" s="29">
        <v>91.3</v>
      </c>
      <c r="S41" s="29">
        <v>70.400000000000006</v>
      </c>
      <c r="T41" s="29">
        <v>74.3</v>
      </c>
    </row>
    <row r="42" spans="1:20" s="32" customFormat="1" ht="15.75" customHeight="1" x14ac:dyDescent="0.3">
      <c r="A42" s="27">
        <v>1955</v>
      </c>
      <c r="B42" s="27">
        <v>12</v>
      </c>
      <c r="C42" s="28">
        <f t="shared" si="0"/>
        <v>109.29166666666667</v>
      </c>
      <c r="D42" s="28">
        <f t="shared" si="1"/>
        <v>1311.5</v>
      </c>
      <c r="E42" s="29">
        <v>3827.51</v>
      </c>
      <c r="F42" s="29">
        <f t="shared" si="2"/>
        <v>35.021059855127717</v>
      </c>
      <c r="G42" s="30">
        <f t="shared" si="3"/>
        <v>2.8554247191167798E-2</v>
      </c>
      <c r="H42" s="31"/>
      <c r="I42" s="29">
        <v>81.8</v>
      </c>
      <c r="J42" s="29">
        <v>83</v>
      </c>
      <c r="K42" s="29">
        <v>112.4</v>
      </c>
      <c r="L42" s="29">
        <v>118.9</v>
      </c>
      <c r="M42" s="29">
        <v>92.4</v>
      </c>
      <c r="N42" s="29">
        <v>118.5</v>
      </c>
      <c r="O42" s="29">
        <v>119.1</v>
      </c>
      <c r="P42" s="29">
        <v>122.8</v>
      </c>
      <c r="Q42" s="29">
        <v>123</v>
      </c>
      <c r="R42" s="29">
        <v>121.2</v>
      </c>
      <c r="S42" s="29">
        <v>103.4</v>
      </c>
      <c r="T42" s="29">
        <v>115</v>
      </c>
    </row>
    <row r="43" spans="1:20" s="32" customFormat="1" ht="15.75" customHeight="1" x14ac:dyDescent="0.3">
      <c r="A43" s="27">
        <v>1956</v>
      </c>
      <c r="B43" s="27">
        <v>12</v>
      </c>
      <c r="C43" s="28">
        <f t="shared" si="0"/>
        <v>117.8</v>
      </c>
      <c r="D43" s="28">
        <f t="shared" si="1"/>
        <v>1413.6</v>
      </c>
      <c r="E43" s="29">
        <v>3827.51</v>
      </c>
      <c r="F43" s="29">
        <f t="shared" si="2"/>
        <v>32.491595925297119</v>
      </c>
      <c r="G43" s="30">
        <f t="shared" si="3"/>
        <v>3.0777189347643764E-2</v>
      </c>
      <c r="H43" s="31"/>
      <c r="I43" s="29">
        <v>114.5</v>
      </c>
      <c r="J43" s="29">
        <v>109.2</v>
      </c>
      <c r="K43" s="29">
        <v>120.6</v>
      </c>
      <c r="L43" s="29">
        <v>121.5</v>
      </c>
      <c r="M43" s="29">
        <v>119.6</v>
      </c>
      <c r="N43" s="29">
        <v>120.2</v>
      </c>
      <c r="O43" s="29">
        <v>120.7</v>
      </c>
      <c r="P43" s="29">
        <v>120.8</v>
      </c>
      <c r="Q43" s="29">
        <v>122</v>
      </c>
      <c r="R43" s="29">
        <v>140.19999999999999</v>
      </c>
      <c r="S43" s="29">
        <v>103.1</v>
      </c>
      <c r="T43" s="29">
        <v>101.2</v>
      </c>
    </row>
    <row r="44" spans="1:20" s="32" customFormat="1" ht="15.75" customHeight="1" x14ac:dyDescent="0.3">
      <c r="A44" s="27">
        <v>1957</v>
      </c>
      <c r="B44" s="27">
        <v>12</v>
      </c>
      <c r="C44" s="28">
        <f t="shared" si="0"/>
        <v>90.866666666666674</v>
      </c>
      <c r="D44" s="28">
        <f t="shared" si="1"/>
        <v>1090.4000000000001</v>
      </c>
      <c r="E44" s="29">
        <v>3827.51</v>
      </c>
      <c r="F44" s="29">
        <f t="shared" si="2"/>
        <v>42.122267057960379</v>
      </c>
      <c r="G44" s="30">
        <f t="shared" si="3"/>
        <v>2.3740412609416218E-2</v>
      </c>
      <c r="H44" s="31"/>
      <c r="I44" s="29">
        <v>104.9</v>
      </c>
      <c r="J44" s="29">
        <v>104</v>
      </c>
      <c r="K44" s="29">
        <v>105.5</v>
      </c>
      <c r="L44" s="29">
        <v>104.1</v>
      </c>
      <c r="M44" s="29">
        <v>108</v>
      </c>
      <c r="N44" s="29">
        <v>107.2</v>
      </c>
      <c r="O44" s="29">
        <v>109.3</v>
      </c>
      <c r="P44" s="29">
        <v>110.6</v>
      </c>
      <c r="Q44" s="29">
        <v>108.3</v>
      </c>
      <c r="R44" s="29">
        <v>6.5</v>
      </c>
      <c r="S44" s="29">
        <v>52</v>
      </c>
      <c r="T44" s="29">
        <v>70</v>
      </c>
    </row>
    <row r="45" spans="1:20" s="32" customFormat="1" ht="15.75" customHeight="1" x14ac:dyDescent="0.3">
      <c r="A45" s="27">
        <v>1958</v>
      </c>
      <c r="B45" s="27">
        <v>12</v>
      </c>
      <c r="C45" s="28">
        <f t="shared" si="0"/>
        <v>70.975000000000009</v>
      </c>
      <c r="D45" s="28">
        <f t="shared" si="1"/>
        <v>851.7</v>
      </c>
      <c r="E45" s="29">
        <v>1856.07</v>
      </c>
      <c r="F45" s="29">
        <f t="shared" si="2"/>
        <v>26.151039098274037</v>
      </c>
      <c r="G45" s="30">
        <f t="shared" si="3"/>
        <v>3.8239398298555556E-2</v>
      </c>
      <c r="H45" s="31"/>
      <c r="I45" s="29">
        <v>70</v>
      </c>
      <c r="J45" s="29">
        <v>69.8</v>
      </c>
      <c r="K45" s="29">
        <v>71.7</v>
      </c>
      <c r="L45" s="29">
        <v>72.5</v>
      </c>
      <c r="M45" s="29">
        <v>71.599999999999994</v>
      </c>
      <c r="N45" s="29">
        <v>73.900000000000006</v>
      </c>
      <c r="O45" s="29">
        <v>74</v>
      </c>
      <c r="P45" s="29">
        <v>73.400000000000006</v>
      </c>
      <c r="Q45" s="29">
        <v>72</v>
      </c>
      <c r="R45" s="29">
        <v>68.7</v>
      </c>
      <c r="S45" s="29">
        <v>64.099999999999994</v>
      </c>
      <c r="T45" s="29">
        <v>70</v>
      </c>
    </row>
    <row r="46" spans="1:20" s="32" customFormat="1" ht="15.75" customHeight="1" x14ac:dyDescent="0.3">
      <c r="A46" s="27">
        <v>1959</v>
      </c>
      <c r="B46" s="27">
        <v>12</v>
      </c>
      <c r="C46" s="28">
        <f t="shared" si="0"/>
        <v>64.233333333333334</v>
      </c>
      <c r="D46" s="28">
        <f t="shared" si="1"/>
        <v>770.80000000000007</v>
      </c>
      <c r="E46" s="29">
        <v>1856.07</v>
      </c>
      <c r="F46" s="29">
        <f t="shared" si="2"/>
        <v>28.895744680851063</v>
      </c>
      <c r="G46" s="30">
        <f t="shared" si="3"/>
        <v>3.4607171784110158E-2</v>
      </c>
      <c r="H46" s="31"/>
      <c r="I46" s="29">
        <v>70</v>
      </c>
      <c r="J46" s="29">
        <v>69.599999999999994</v>
      </c>
      <c r="K46" s="29">
        <v>72.2</v>
      </c>
      <c r="L46" s="29">
        <v>71.8</v>
      </c>
      <c r="M46" s="29">
        <v>70</v>
      </c>
      <c r="N46" s="29">
        <v>70</v>
      </c>
      <c r="O46" s="29">
        <v>73.400000000000006</v>
      </c>
      <c r="P46" s="29">
        <v>74.599999999999994</v>
      </c>
      <c r="Q46" s="29">
        <v>73.5</v>
      </c>
      <c r="R46" s="29">
        <v>34</v>
      </c>
      <c r="S46" s="29">
        <v>41.7</v>
      </c>
      <c r="T46" s="29">
        <v>50</v>
      </c>
    </row>
    <row r="47" spans="1:20" s="32" customFormat="1" ht="15.75" customHeight="1" x14ac:dyDescent="0.3">
      <c r="A47" s="27">
        <v>1960</v>
      </c>
      <c r="B47" s="27">
        <v>12</v>
      </c>
      <c r="C47" s="28">
        <f t="shared" si="0"/>
        <v>50.749999999999993</v>
      </c>
      <c r="D47" s="28">
        <f t="shared" si="1"/>
        <v>608.99999999999989</v>
      </c>
      <c r="E47" s="29">
        <v>1856.07</v>
      </c>
      <c r="F47" s="29">
        <f t="shared" si="2"/>
        <v>36.5728078817734</v>
      </c>
      <c r="G47" s="30">
        <f t="shared" si="3"/>
        <v>2.7342718755219358E-2</v>
      </c>
      <c r="H47" s="31"/>
      <c r="I47" s="29">
        <v>50</v>
      </c>
      <c r="J47" s="29">
        <v>50</v>
      </c>
      <c r="K47" s="29">
        <v>52.5</v>
      </c>
      <c r="L47" s="29">
        <v>54</v>
      </c>
      <c r="M47" s="29">
        <v>54</v>
      </c>
      <c r="N47" s="29">
        <v>53.4</v>
      </c>
      <c r="O47" s="29">
        <v>54</v>
      </c>
      <c r="P47" s="29">
        <v>53.9</v>
      </c>
      <c r="Q47" s="29">
        <v>52.6</v>
      </c>
      <c r="R47" s="29">
        <v>45.8</v>
      </c>
      <c r="S47" s="29">
        <v>37.799999999999997</v>
      </c>
      <c r="T47" s="29">
        <v>51</v>
      </c>
    </row>
    <row r="48" spans="1:20" s="32" customFormat="1" ht="15.75" customHeight="1" x14ac:dyDescent="0.3">
      <c r="A48" s="27">
        <v>1961</v>
      </c>
      <c r="B48" s="27">
        <v>12</v>
      </c>
      <c r="C48" s="28">
        <f t="shared" si="0"/>
        <v>47.75</v>
      </c>
      <c r="D48" s="28">
        <f t="shared" si="1"/>
        <v>573</v>
      </c>
      <c r="E48" s="29">
        <v>1856.07</v>
      </c>
      <c r="F48" s="29">
        <f t="shared" si="2"/>
        <v>38.870575916230365</v>
      </c>
      <c r="G48" s="30">
        <f t="shared" si="3"/>
        <v>2.5726400405157133E-2</v>
      </c>
      <c r="H48" s="31"/>
      <c r="I48" s="29">
        <v>51</v>
      </c>
      <c r="J48" s="29">
        <v>50.2</v>
      </c>
      <c r="K48" s="29">
        <v>51.2</v>
      </c>
      <c r="L48" s="29">
        <v>52</v>
      </c>
      <c r="M48" s="29">
        <v>52</v>
      </c>
      <c r="N48" s="29">
        <v>52</v>
      </c>
      <c r="O48" s="29">
        <v>52</v>
      </c>
      <c r="P48" s="29">
        <v>50</v>
      </c>
      <c r="Q48" s="29">
        <v>51.7</v>
      </c>
      <c r="R48" s="29">
        <v>46.9</v>
      </c>
      <c r="S48" s="29">
        <v>22</v>
      </c>
      <c r="T48" s="29">
        <v>42</v>
      </c>
    </row>
    <row r="49" spans="1:20" s="32" customFormat="1" ht="15.75" customHeight="1" x14ac:dyDescent="0.3">
      <c r="A49" s="27">
        <v>1962</v>
      </c>
      <c r="B49" s="27">
        <v>12</v>
      </c>
      <c r="C49" s="28">
        <f t="shared" si="0"/>
        <v>39.68333333333333</v>
      </c>
      <c r="D49" s="28">
        <f t="shared" si="1"/>
        <v>476.19999999999993</v>
      </c>
      <c r="E49" s="29">
        <v>1856.07</v>
      </c>
      <c r="F49" s="29">
        <f t="shared" si="2"/>
        <v>46.772028559428811</v>
      </c>
      <c r="G49" s="30">
        <f t="shared" si="3"/>
        <v>2.1380299952767585E-2</v>
      </c>
      <c r="H49" s="31"/>
      <c r="I49" s="29">
        <v>42</v>
      </c>
      <c r="J49" s="29">
        <v>42</v>
      </c>
      <c r="K49" s="29">
        <v>43.8</v>
      </c>
      <c r="L49" s="29">
        <v>44.7</v>
      </c>
      <c r="M49" s="29">
        <v>44</v>
      </c>
      <c r="N49" s="29">
        <v>44</v>
      </c>
      <c r="O49" s="29">
        <v>44</v>
      </c>
      <c r="P49" s="29">
        <v>44</v>
      </c>
      <c r="Q49" s="29">
        <v>43.4</v>
      </c>
      <c r="R49" s="29">
        <v>40.4</v>
      </c>
      <c r="S49" s="29">
        <v>17.899999999999999</v>
      </c>
      <c r="T49" s="29">
        <v>26</v>
      </c>
    </row>
    <row r="50" spans="1:20" s="32" customFormat="1" ht="15.75" customHeight="1" x14ac:dyDescent="0.3">
      <c r="A50" s="27">
        <v>1963</v>
      </c>
      <c r="B50" s="27">
        <v>12</v>
      </c>
      <c r="C50" s="28">
        <f t="shared" si="0"/>
        <v>24.200000000000003</v>
      </c>
      <c r="D50" s="28">
        <f t="shared" si="1"/>
        <v>290.40000000000003</v>
      </c>
      <c r="E50" s="29">
        <v>1856.07</v>
      </c>
      <c r="F50" s="29">
        <f t="shared" si="2"/>
        <v>76.697107438016516</v>
      </c>
      <c r="G50" s="30">
        <f t="shared" si="3"/>
        <v>1.3038301357168644E-2</v>
      </c>
      <c r="H50" s="31"/>
      <c r="I50" s="29">
        <v>23.5</v>
      </c>
      <c r="J50" s="29">
        <v>0</v>
      </c>
      <c r="K50" s="29">
        <v>23.9</v>
      </c>
      <c r="L50" s="29">
        <v>29</v>
      </c>
      <c r="M50" s="29">
        <v>29</v>
      </c>
      <c r="N50" s="29">
        <v>28.4</v>
      </c>
      <c r="O50" s="29">
        <v>28</v>
      </c>
      <c r="P50" s="29">
        <v>28.8</v>
      </c>
      <c r="Q50" s="29">
        <v>28.8</v>
      </c>
      <c r="R50" s="29">
        <v>23.1</v>
      </c>
      <c r="S50" s="29">
        <v>20.9</v>
      </c>
      <c r="T50" s="29">
        <v>27</v>
      </c>
    </row>
    <row r="51" spans="1:20" s="32" customFormat="1" ht="15.75" customHeight="1" x14ac:dyDescent="0.3">
      <c r="A51" s="27">
        <v>1964</v>
      </c>
      <c r="B51" s="27">
        <v>12</v>
      </c>
      <c r="C51" s="28">
        <f t="shared" si="0"/>
        <v>28.233333333333334</v>
      </c>
      <c r="D51" s="28">
        <f t="shared" si="1"/>
        <v>338.8</v>
      </c>
      <c r="E51" s="29">
        <v>1856.07</v>
      </c>
      <c r="F51" s="29">
        <f t="shared" si="2"/>
        <v>65.740377804014159</v>
      </c>
      <c r="G51" s="30">
        <f t="shared" si="3"/>
        <v>1.5211351583363416E-2</v>
      </c>
      <c r="H51" s="31"/>
      <c r="I51" s="29">
        <v>27</v>
      </c>
      <c r="J51" s="29">
        <v>27</v>
      </c>
      <c r="K51" s="29">
        <v>28.6</v>
      </c>
      <c r="L51" s="29">
        <v>28.4</v>
      </c>
      <c r="M51" s="29">
        <v>28.8</v>
      </c>
      <c r="N51" s="29">
        <v>28</v>
      </c>
      <c r="O51" s="29">
        <v>28</v>
      </c>
      <c r="P51" s="29">
        <v>28</v>
      </c>
      <c r="Q51" s="29">
        <v>27.7</v>
      </c>
      <c r="R51" s="29">
        <v>28.8</v>
      </c>
      <c r="S51" s="29">
        <v>18.5</v>
      </c>
      <c r="T51" s="29">
        <v>40</v>
      </c>
    </row>
    <row r="52" spans="1:20" s="32" customFormat="1" ht="15.75" customHeight="1" x14ac:dyDescent="0.3">
      <c r="A52" s="27">
        <v>1965</v>
      </c>
      <c r="B52" s="27">
        <v>12</v>
      </c>
      <c r="C52" s="28">
        <f t="shared" si="0"/>
        <v>38.925000000000004</v>
      </c>
      <c r="D52" s="28">
        <f t="shared" si="1"/>
        <v>467.1</v>
      </c>
      <c r="E52" s="29">
        <v>1856.07</v>
      </c>
      <c r="F52" s="29">
        <f t="shared" si="2"/>
        <v>47.683236994219648</v>
      </c>
      <c r="G52" s="30">
        <f t="shared" si="3"/>
        <v>2.0971730592057414E-2</v>
      </c>
      <c r="H52" s="31"/>
      <c r="I52" s="29">
        <v>39.9</v>
      </c>
      <c r="J52" s="29">
        <v>39</v>
      </c>
      <c r="K52" s="29">
        <v>40.4</v>
      </c>
      <c r="L52" s="29">
        <v>41</v>
      </c>
      <c r="M52" s="29">
        <v>40.9</v>
      </c>
      <c r="N52" s="29">
        <v>40</v>
      </c>
      <c r="O52" s="29">
        <v>40</v>
      </c>
      <c r="P52" s="29">
        <v>38</v>
      </c>
      <c r="Q52" s="29">
        <v>37.9</v>
      </c>
      <c r="R52" s="29">
        <v>35.4</v>
      </c>
      <c r="S52" s="29">
        <v>34.6</v>
      </c>
      <c r="T52" s="29">
        <v>40</v>
      </c>
    </row>
    <row r="53" spans="1:20" s="32" customFormat="1" ht="15.75" customHeight="1" x14ac:dyDescent="0.3">
      <c r="A53" s="27">
        <v>1966</v>
      </c>
      <c r="B53" s="27">
        <v>12</v>
      </c>
      <c r="C53" s="28">
        <f t="shared" si="0"/>
        <v>39.80833333333333</v>
      </c>
      <c r="D53" s="28">
        <f t="shared" si="1"/>
        <v>477.7</v>
      </c>
      <c r="E53" s="29">
        <v>1856.07</v>
      </c>
      <c r="F53" s="29">
        <f t="shared" si="2"/>
        <v>46.625162235712793</v>
      </c>
      <c r="G53" s="30">
        <f t="shared" si="3"/>
        <v>2.1447646550686844E-2</v>
      </c>
      <c r="H53" s="31"/>
      <c r="I53" s="29">
        <v>40</v>
      </c>
      <c r="J53" s="29">
        <v>40</v>
      </c>
      <c r="K53" s="29">
        <v>42</v>
      </c>
      <c r="L53" s="29">
        <v>42.9</v>
      </c>
      <c r="M53" s="29">
        <v>42</v>
      </c>
      <c r="N53" s="29">
        <v>42</v>
      </c>
      <c r="O53" s="29">
        <v>41.8</v>
      </c>
      <c r="P53" s="29">
        <v>42</v>
      </c>
      <c r="Q53" s="29">
        <v>42</v>
      </c>
      <c r="R53" s="29">
        <v>39</v>
      </c>
      <c r="S53" s="29">
        <v>23</v>
      </c>
      <c r="T53" s="29">
        <v>41</v>
      </c>
    </row>
    <row r="54" spans="1:20" s="32" customFormat="1" ht="15.75" customHeight="1" x14ac:dyDescent="0.3">
      <c r="A54" s="27">
        <v>1967</v>
      </c>
      <c r="B54" s="27">
        <v>12</v>
      </c>
      <c r="C54" s="28">
        <f t="shared" si="0"/>
        <v>40.858333333333327</v>
      </c>
      <c r="D54" s="28">
        <f t="shared" si="1"/>
        <v>490.29999999999995</v>
      </c>
      <c r="E54" s="29">
        <v>1856.07</v>
      </c>
      <c r="F54" s="29">
        <f t="shared" si="2"/>
        <v>45.426963083826237</v>
      </c>
      <c r="G54" s="30">
        <f t="shared" si="3"/>
        <v>2.2013357973208622E-2</v>
      </c>
      <c r="H54" s="31"/>
      <c r="I54" s="29">
        <v>41</v>
      </c>
      <c r="J54" s="29">
        <v>41</v>
      </c>
      <c r="K54" s="29">
        <v>43.1</v>
      </c>
      <c r="L54" s="29">
        <v>43.6</v>
      </c>
      <c r="M54" s="29">
        <v>41.3</v>
      </c>
      <c r="N54" s="29">
        <v>41</v>
      </c>
      <c r="O54" s="29">
        <v>41.9</v>
      </c>
      <c r="P54" s="29">
        <v>42</v>
      </c>
      <c r="Q54" s="29">
        <v>42</v>
      </c>
      <c r="R54" s="29">
        <v>40.200000000000003</v>
      </c>
      <c r="S54" s="29">
        <v>30.2</v>
      </c>
      <c r="T54" s="29">
        <v>43</v>
      </c>
    </row>
    <row r="55" spans="1:20" s="32" customFormat="1" ht="15.75" customHeight="1" x14ac:dyDescent="0.3">
      <c r="A55" s="27">
        <v>1968</v>
      </c>
      <c r="B55" s="27">
        <v>12</v>
      </c>
      <c r="C55" s="28">
        <f t="shared" si="0"/>
        <v>45.241666666666667</v>
      </c>
      <c r="D55" s="28">
        <f t="shared" si="1"/>
        <v>542.9</v>
      </c>
      <c r="E55" s="29">
        <v>1856.07</v>
      </c>
      <c r="F55" s="29">
        <f t="shared" si="2"/>
        <v>41.025676920243136</v>
      </c>
      <c r="G55" s="30">
        <f t="shared" si="3"/>
        <v>2.4374978673577328E-2</v>
      </c>
      <c r="H55" s="31"/>
      <c r="I55" s="29">
        <v>43.7</v>
      </c>
      <c r="J55" s="29">
        <v>45</v>
      </c>
      <c r="K55" s="29">
        <v>46.8</v>
      </c>
      <c r="L55" s="29">
        <v>48</v>
      </c>
      <c r="M55" s="29">
        <v>48</v>
      </c>
      <c r="N55" s="29">
        <v>48</v>
      </c>
      <c r="O55" s="29">
        <v>48</v>
      </c>
      <c r="P55" s="29">
        <v>47.4</v>
      </c>
      <c r="Q55" s="29">
        <v>46.4</v>
      </c>
      <c r="R55" s="29">
        <v>33.299999999999997</v>
      </c>
      <c r="S55" s="29">
        <v>36.299999999999997</v>
      </c>
      <c r="T55" s="29">
        <v>52</v>
      </c>
    </row>
    <row r="56" spans="1:20" s="32" customFormat="1" ht="15.75" customHeight="1" x14ac:dyDescent="0.3">
      <c r="A56" s="27">
        <v>1969</v>
      </c>
      <c r="B56" s="27">
        <v>12</v>
      </c>
      <c r="C56" s="28">
        <f t="shared" si="0"/>
        <v>51.716666666666669</v>
      </c>
      <c r="D56" s="28">
        <f t="shared" si="1"/>
        <v>620.6</v>
      </c>
      <c r="E56" s="29">
        <v>1856.07</v>
      </c>
      <c r="F56" s="29">
        <f t="shared" si="2"/>
        <v>35.889203996132771</v>
      </c>
      <c r="G56" s="30">
        <f t="shared" si="3"/>
        <v>2.786353244579497E-2</v>
      </c>
      <c r="H56" s="31"/>
      <c r="I56" s="29">
        <v>52</v>
      </c>
      <c r="J56" s="29">
        <v>52</v>
      </c>
      <c r="K56" s="29">
        <v>54.1</v>
      </c>
      <c r="L56" s="29">
        <v>55</v>
      </c>
      <c r="M56" s="29">
        <v>55</v>
      </c>
      <c r="N56" s="29">
        <v>55</v>
      </c>
      <c r="O56" s="29">
        <v>55</v>
      </c>
      <c r="P56" s="29">
        <v>55</v>
      </c>
      <c r="Q56" s="29">
        <v>55</v>
      </c>
      <c r="R56" s="29">
        <v>52</v>
      </c>
      <c r="S56" s="29">
        <v>33.299999999999997</v>
      </c>
      <c r="T56" s="29">
        <v>47.2</v>
      </c>
    </row>
    <row r="57" spans="1:20" s="32" customFormat="1" ht="15.75" customHeight="1" x14ac:dyDescent="0.3">
      <c r="A57" s="27">
        <v>1970</v>
      </c>
      <c r="B57" s="27">
        <v>12</v>
      </c>
      <c r="C57" s="28">
        <f t="shared" si="0"/>
        <v>47.925000000000004</v>
      </c>
      <c r="D57" s="28">
        <f t="shared" si="1"/>
        <v>575.1</v>
      </c>
      <c r="E57" s="29">
        <v>1856.07</v>
      </c>
      <c r="F57" s="29">
        <f t="shared" si="2"/>
        <v>38.728638497652575</v>
      </c>
      <c r="G57" s="30">
        <f t="shared" si="3"/>
        <v>2.5820685642244101E-2</v>
      </c>
      <c r="H57" s="31"/>
      <c r="I57" s="29">
        <v>45</v>
      </c>
      <c r="J57" s="29">
        <v>45</v>
      </c>
      <c r="K57" s="29">
        <v>45</v>
      </c>
      <c r="L57" s="29">
        <v>48</v>
      </c>
      <c r="M57" s="29">
        <v>46.7</v>
      </c>
      <c r="N57" s="29">
        <v>47.6</v>
      </c>
      <c r="O57" s="29">
        <v>48</v>
      </c>
      <c r="P57" s="29">
        <v>48</v>
      </c>
      <c r="Q57" s="29">
        <v>48</v>
      </c>
      <c r="R57" s="29">
        <v>25.8</v>
      </c>
      <c r="S57" s="29">
        <v>64</v>
      </c>
      <c r="T57" s="29">
        <v>64</v>
      </c>
    </row>
    <row r="58" spans="1:20" s="32" customFormat="1" ht="15.75" customHeight="1" x14ac:dyDescent="0.3">
      <c r="A58" s="27">
        <v>1971</v>
      </c>
      <c r="B58" s="27">
        <v>12</v>
      </c>
      <c r="C58" s="28">
        <f t="shared" si="0"/>
        <v>60.991666666666667</v>
      </c>
      <c r="D58" s="28">
        <f t="shared" si="1"/>
        <v>731.9</v>
      </c>
      <c r="E58" s="29">
        <v>1856.07</v>
      </c>
      <c r="F58" s="29">
        <f t="shared" si="2"/>
        <v>30.431534362617843</v>
      </c>
      <c r="G58" s="30">
        <f t="shared" si="3"/>
        <v>3.2860650011404029E-2</v>
      </c>
      <c r="H58" s="31"/>
      <c r="I58" s="29">
        <v>64</v>
      </c>
      <c r="J58" s="29">
        <v>62</v>
      </c>
      <c r="K58" s="29">
        <v>65.7</v>
      </c>
      <c r="L58" s="29">
        <v>67</v>
      </c>
      <c r="M58" s="29">
        <v>66.2</v>
      </c>
      <c r="N58" s="29">
        <v>66</v>
      </c>
      <c r="O58" s="29">
        <v>66</v>
      </c>
      <c r="P58" s="29">
        <v>66</v>
      </c>
      <c r="Q58" s="29">
        <v>63</v>
      </c>
      <c r="R58" s="29">
        <v>51.9</v>
      </c>
      <c r="S58" s="29">
        <v>44.1</v>
      </c>
      <c r="T58" s="29">
        <v>50</v>
      </c>
    </row>
    <row r="59" spans="1:20" s="32" customFormat="1" ht="15.75" customHeight="1" x14ac:dyDescent="0.3">
      <c r="A59" s="27">
        <v>1972</v>
      </c>
      <c r="B59" s="27">
        <v>12</v>
      </c>
      <c r="C59" s="28">
        <f t="shared" si="0"/>
        <v>48.808333333333337</v>
      </c>
      <c r="D59" s="28">
        <f t="shared" si="1"/>
        <v>585.70000000000005</v>
      </c>
      <c r="E59" s="29">
        <v>1856.07</v>
      </c>
      <c r="F59" s="29">
        <f t="shared" si="2"/>
        <v>38.02772750554891</v>
      </c>
      <c r="G59" s="30">
        <f t="shared" si="3"/>
        <v>2.6296601600873534E-2</v>
      </c>
      <c r="H59" s="31"/>
      <c r="I59" s="29">
        <v>50</v>
      </c>
      <c r="J59" s="29">
        <v>50</v>
      </c>
      <c r="K59" s="29">
        <v>52.4</v>
      </c>
      <c r="L59" s="29">
        <v>53</v>
      </c>
      <c r="M59" s="29">
        <v>53</v>
      </c>
      <c r="N59" s="29">
        <v>53</v>
      </c>
      <c r="O59" s="29">
        <v>49.7</v>
      </c>
      <c r="P59" s="29">
        <v>47.5</v>
      </c>
      <c r="Q59" s="29">
        <v>47</v>
      </c>
      <c r="R59" s="29">
        <v>48.1</v>
      </c>
      <c r="S59" s="29">
        <v>22.5</v>
      </c>
      <c r="T59" s="29">
        <v>59.5</v>
      </c>
    </row>
    <row r="60" spans="1:20" s="32" customFormat="1" ht="15.75" customHeight="1" x14ac:dyDescent="0.3">
      <c r="A60" s="27">
        <v>1973</v>
      </c>
      <c r="B60" s="27">
        <v>12</v>
      </c>
      <c r="C60" s="28">
        <f t="shared" si="0"/>
        <v>44.558333333333337</v>
      </c>
      <c r="D60" s="28">
        <f t="shared" si="1"/>
        <v>534.70000000000005</v>
      </c>
      <c r="E60" s="29">
        <v>1856.07</v>
      </c>
      <c r="F60" s="29">
        <f t="shared" si="2"/>
        <v>41.654834486628012</v>
      </c>
      <c r="G60" s="30">
        <f t="shared" si="3"/>
        <v>2.400681727161871E-2</v>
      </c>
      <c r="H60" s="31"/>
      <c r="I60" s="29">
        <v>59.5</v>
      </c>
      <c r="J60" s="29">
        <v>45.7</v>
      </c>
      <c r="K60" s="29">
        <v>48.2</v>
      </c>
      <c r="L60" s="29">
        <v>48</v>
      </c>
      <c r="M60" s="29">
        <v>49.9</v>
      </c>
      <c r="N60" s="29">
        <v>48</v>
      </c>
      <c r="O60" s="29">
        <v>48</v>
      </c>
      <c r="P60" s="29">
        <v>48</v>
      </c>
      <c r="Q60" s="29">
        <v>48</v>
      </c>
      <c r="R60" s="29">
        <v>46</v>
      </c>
      <c r="S60" s="29">
        <v>0.4</v>
      </c>
      <c r="T60" s="29">
        <v>45</v>
      </c>
    </row>
    <row r="61" spans="1:20" s="32" customFormat="1" ht="15.75" customHeight="1" x14ac:dyDescent="0.3">
      <c r="A61" s="27">
        <v>1974</v>
      </c>
      <c r="B61" s="27">
        <v>12</v>
      </c>
      <c r="C61" s="28">
        <f t="shared" si="0"/>
        <v>44.941666666666663</v>
      </c>
      <c r="D61" s="28">
        <f t="shared" si="1"/>
        <v>539.29999999999995</v>
      </c>
      <c r="E61" s="29">
        <v>1856.07</v>
      </c>
      <c r="F61" s="29">
        <f t="shared" si="2"/>
        <v>41.299536436120903</v>
      </c>
      <c r="G61" s="30">
        <f t="shared" si="3"/>
        <v>2.4213346838571102E-2</v>
      </c>
      <c r="H61" s="31"/>
      <c r="I61" s="29">
        <v>45</v>
      </c>
      <c r="J61" s="29">
        <v>45</v>
      </c>
      <c r="K61" s="29">
        <v>47</v>
      </c>
      <c r="L61" s="29">
        <v>48</v>
      </c>
      <c r="M61" s="29">
        <v>48</v>
      </c>
      <c r="N61" s="29">
        <v>48</v>
      </c>
      <c r="O61" s="29">
        <v>48</v>
      </c>
      <c r="P61" s="29">
        <v>48</v>
      </c>
      <c r="Q61" s="29">
        <v>48</v>
      </c>
      <c r="R61" s="29">
        <v>48</v>
      </c>
      <c r="S61" s="29">
        <v>21.3</v>
      </c>
      <c r="T61" s="29">
        <v>45</v>
      </c>
    </row>
    <row r="62" spans="1:20" s="32" customFormat="1" ht="15.75" customHeight="1" x14ac:dyDescent="0.3">
      <c r="A62" s="27">
        <v>1975</v>
      </c>
      <c r="B62" s="27">
        <v>12</v>
      </c>
      <c r="C62" s="28">
        <f t="shared" si="0"/>
        <v>44.475000000000001</v>
      </c>
      <c r="D62" s="28">
        <f t="shared" si="1"/>
        <v>533.70000000000005</v>
      </c>
      <c r="E62" s="29">
        <v>1856.07</v>
      </c>
      <c r="F62" s="29">
        <f t="shared" si="2"/>
        <v>41.732883642495779</v>
      </c>
      <c r="G62" s="30">
        <f t="shared" si="3"/>
        <v>2.3961919539672534E-2</v>
      </c>
      <c r="H62" s="31"/>
      <c r="I62" s="29">
        <v>45</v>
      </c>
      <c r="J62" s="29">
        <v>45</v>
      </c>
      <c r="K62" s="29">
        <v>47.3</v>
      </c>
      <c r="L62" s="29">
        <v>48</v>
      </c>
      <c r="M62" s="29">
        <v>48</v>
      </c>
      <c r="N62" s="29">
        <v>48</v>
      </c>
      <c r="O62" s="29">
        <v>48</v>
      </c>
      <c r="P62" s="29">
        <v>48</v>
      </c>
      <c r="Q62" s="29">
        <v>48</v>
      </c>
      <c r="R62" s="29">
        <v>49.3</v>
      </c>
      <c r="S62" s="29">
        <v>13.1</v>
      </c>
      <c r="T62" s="29">
        <v>46</v>
      </c>
    </row>
    <row r="63" spans="1:20" s="32" customFormat="1" ht="15.75" customHeight="1" x14ac:dyDescent="0.3">
      <c r="A63" s="27">
        <v>1976</v>
      </c>
      <c r="B63" s="27">
        <v>12</v>
      </c>
      <c r="C63" s="28">
        <f t="shared" si="0"/>
        <v>46.933333333333337</v>
      </c>
      <c r="D63" s="28">
        <f t="shared" si="1"/>
        <v>563.20000000000005</v>
      </c>
      <c r="E63" s="29">
        <v>1856.07</v>
      </c>
      <c r="F63" s="29">
        <f t="shared" si="2"/>
        <v>39.546946022727269</v>
      </c>
      <c r="G63" s="30">
        <f t="shared" si="3"/>
        <v>2.5286402632084641E-2</v>
      </c>
      <c r="H63" s="31"/>
      <c r="I63" s="29">
        <v>46</v>
      </c>
      <c r="J63" s="29">
        <v>46</v>
      </c>
      <c r="K63" s="29">
        <v>47.9</v>
      </c>
      <c r="L63" s="29">
        <v>47.3</v>
      </c>
      <c r="M63" s="29">
        <v>47</v>
      </c>
      <c r="N63" s="29">
        <v>47</v>
      </c>
      <c r="O63" s="29">
        <v>48</v>
      </c>
      <c r="P63" s="29">
        <v>48</v>
      </c>
      <c r="Q63" s="29">
        <v>48</v>
      </c>
      <c r="R63" s="29">
        <v>48</v>
      </c>
      <c r="S63" s="29">
        <v>45</v>
      </c>
      <c r="T63" s="29">
        <v>45</v>
      </c>
    </row>
    <row r="64" spans="1:20" s="32" customFormat="1" ht="15.75" customHeight="1" x14ac:dyDescent="0.3">
      <c r="A64" s="27">
        <v>1977</v>
      </c>
      <c r="B64" s="27">
        <v>12</v>
      </c>
      <c r="C64" s="28">
        <f t="shared" si="0"/>
        <v>47</v>
      </c>
      <c r="D64" s="28">
        <f t="shared" si="1"/>
        <v>564</v>
      </c>
      <c r="E64" s="29">
        <v>1856.07</v>
      </c>
      <c r="F64" s="29">
        <f t="shared" si="2"/>
        <v>39.490851063829787</v>
      </c>
      <c r="G64" s="30">
        <f t="shared" si="3"/>
        <v>2.5322320817641578E-2</v>
      </c>
      <c r="H64" s="31"/>
      <c r="I64" s="29">
        <v>45</v>
      </c>
      <c r="J64" s="29">
        <v>45</v>
      </c>
      <c r="K64" s="29">
        <v>48</v>
      </c>
      <c r="L64" s="29">
        <v>48</v>
      </c>
      <c r="M64" s="29">
        <v>48</v>
      </c>
      <c r="N64" s="29">
        <v>48</v>
      </c>
      <c r="O64" s="29">
        <v>48</v>
      </c>
      <c r="P64" s="29">
        <v>48</v>
      </c>
      <c r="Q64" s="29">
        <v>48</v>
      </c>
      <c r="R64" s="29">
        <v>48</v>
      </c>
      <c r="S64" s="29">
        <v>45</v>
      </c>
      <c r="T64" s="29">
        <v>45</v>
      </c>
    </row>
    <row r="65" spans="1:20" s="32" customFormat="1" ht="15.75" customHeight="1" x14ac:dyDescent="0.3">
      <c r="A65" s="27">
        <v>1978</v>
      </c>
      <c r="B65" s="27">
        <v>12</v>
      </c>
      <c r="C65" s="28">
        <f t="shared" si="0"/>
        <v>47</v>
      </c>
      <c r="D65" s="28">
        <f t="shared" si="1"/>
        <v>564</v>
      </c>
      <c r="E65" s="29">
        <v>1856.07</v>
      </c>
      <c r="F65" s="29">
        <f t="shared" si="2"/>
        <v>39.490851063829787</v>
      </c>
      <c r="G65" s="30">
        <f t="shared" si="3"/>
        <v>2.5322320817641578E-2</v>
      </c>
      <c r="H65" s="31"/>
      <c r="I65" s="29">
        <v>45</v>
      </c>
      <c r="J65" s="29">
        <v>45</v>
      </c>
      <c r="K65" s="29">
        <v>48</v>
      </c>
      <c r="L65" s="29">
        <v>48</v>
      </c>
      <c r="M65" s="29">
        <v>48</v>
      </c>
      <c r="N65" s="29">
        <v>48</v>
      </c>
      <c r="O65" s="29">
        <v>48</v>
      </c>
      <c r="P65" s="29">
        <v>48</v>
      </c>
      <c r="Q65" s="29">
        <v>48</v>
      </c>
      <c r="R65" s="29">
        <v>48</v>
      </c>
      <c r="S65" s="29">
        <v>45</v>
      </c>
      <c r="T65" s="29">
        <v>45</v>
      </c>
    </row>
    <row r="66" spans="1:20" s="32" customFormat="1" ht="15.75" customHeight="1" x14ac:dyDescent="0.3">
      <c r="A66" s="27">
        <v>1979</v>
      </c>
      <c r="B66" s="27">
        <v>12</v>
      </c>
      <c r="C66" s="28">
        <f t="shared" si="0"/>
        <v>47</v>
      </c>
      <c r="D66" s="28">
        <f t="shared" si="1"/>
        <v>564</v>
      </c>
      <c r="E66" s="29">
        <v>1856.07</v>
      </c>
      <c r="F66" s="29">
        <f t="shared" si="2"/>
        <v>39.490851063829787</v>
      </c>
      <c r="G66" s="30">
        <f t="shared" si="3"/>
        <v>2.5322320817641578E-2</v>
      </c>
      <c r="H66" s="31"/>
      <c r="I66" s="29">
        <v>45</v>
      </c>
      <c r="J66" s="29">
        <v>45</v>
      </c>
      <c r="K66" s="29">
        <v>48</v>
      </c>
      <c r="L66" s="29">
        <v>48</v>
      </c>
      <c r="M66" s="29">
        <v>48</v>
      </c>
      <c r="N66" s="29">
        <v>48</v>
      </c>
      <c r="O66" s="29">
        <v>48</v>
      </c>
      <c r="P66" s="29">
        <v>48</v>
      </c>
      <c r="Q66" s="29">
        <v>48</v>
      </c>
      <c r="R66" s="29">
        <v>48</v>
      </c>
      <c r="S66" s="29">
        <v>45</v>
      </c>
      <c r="T66" s="29">
        <v>45</v>
      </c>
    </row>
    <row r="67" spans="1:20" s="32" customFormat="1" ht="15.75" customHeight="1" x14ac:dyDescent="0.3">
      <c r="A67" s="27">
        <v>1980</v>
      </c>
      <c r="B67" s="27">
        <v>12</v>
      </c>
      <c r="C67" s="28">
        <f t="shared" si="0"/>
        <v>47</v>
      </c>
      <c r="D67" s="28">
        <f t="shared" si="1"/>
        <v>564</v>
      </c>
      <c r="E67" s="29">
        <v>1856.07</v>
      </c>
      <c r="F67" s="29">
        <f t="shared" si="2"/>
        <v>39.490851063829787</v>
      </c>
      <c r="G67" s="30">
        <f t="shared" si="3"/>
        <v>2.5322320817641578E-2</v>
      </c>
      <c r="H67" s="31"/>
      <c r="I67" s="29">
        <v>45</v>
      </c>
      <c r="J67" s="29">
        <v>45</v>
      </c>
      <c r="K67" s="29">
        <v>48</v>
      </c>
      <c r="L67" s="29">
        <v>48</v>
      </c>
      <c r="M67" s="29">
        <v>48</v>
      </c>
      <c r="N67" s="29">
        <v>48</v>
      </c>
      <c r="O67" s="29">
        <v>48</v>
      </c>
      <c r="P67" s="29">
        <v>48</v>
      </c>
      <c r="Q67" s="29">
        <v>48</v>
      </c>
      <c r="R67" s="29">
        <v>48</v>
      </c>
      <c r="S67" s="29">
        <v>45</v>
      </c>
      <c r="T67" s="29">
        <v>45</v>
      </c>
    </row>
    <row r="68" spans="1:20" s="32" customFormat="1" ht="15.75" customHeight="1" x14ac:dyDescent="0.3">
      <c r="A68" s="27">
        <v>1981</v>
      </c>
      <c r="B68" s="27">
        <v>12</v>
      </c>
      <c r="C68" s="28">
        <f t="shared" ref="C68" si="4">D68/B68</f>
        <v>47</v>
      </c>
      <c r="D68" s="28">
        <f t="shared" ref="D68" si="5">SUM(I68:T68)</f>
        <v>564</v>
      </c>
      <c r="E68" s="29">
        <v>1856.07</v>
      </c>
      <c r="F68" s="29">
        <f t="shared" ref="F68" si="6">E68/C68</f>
        <v>39.490851063829787</v>
      </c>
      <c r="G68" s="30">
        <f t="shared" ref="G68:G98" si="7">C68/E68</f>
        <v>2.5322320817641578E-2</v>
      </c>
      <c r="H68" s="31"/>
      <c r="I68" s="29">
        <v>45</v>
      </c>
      <c r="J68" s="29">
        <v>45</v>
      </c>
      <c r="K68" s="29">
        <v>48</v>
      </c>
      <c r="L68" s="29">
        <v>48</v>
      </c>
      <c r="M68" s="29">
        <v>48</v>
      </c>
      <c r="N68" s="29">
        <v>48</v>
      </c>
      <c r="O68" s="29">
        <v>48</v>
      </c>
      <c r="P68" s="29">
        <v>48</v>
      </c>
      <c r="Q68" s="29">
        <v>48</v>
      </c>
      <c r="R68" s="29">
        <v>48</v>
      </c>
      <c r="S68" s="29">
        <v>45</v>
      </c>
      <c r="T68" s="29">
        <v>45</v>
      </c>
    </row>
    <row r="69" spans="1:20" s="32" customFormat="1" ht="15.75" customHeight="1" x14ac:dyDescent="0.3">
      <c r="A69" s="27">
        <v>1982</v>
      </c>
      <c r="B69" s="27">
        <v>12</v>
      </c>
      <c r="C69" s="28">
        <f t="shared" ref="C69:C97" si="8">D69/B69</f>
        <v>46.833333333333336</v>
      </c>
      <c r="D69" s="28">
        <f t="shared" ref="D69:D97" si="9">SUM(I69:T69)</f>
        <v>562</v>
      </c>
      <c r="E69" s="29">
        <v>1856.07</v>
      </c>
      <c r="F69" s="29">
        <f t="shared" ref="F69:F97" si="10">E69/C69</f>
        <v>39.631387900355868</v>
      </c>
      <c r="G69" s="30">
        <f t="shared" si="7"/>
        <v>2.5232525353749233E-2</v>
      </c>
      <c r="H69" s="31"/>
      <c r="I69" s="29">
        <v>45</v>
      </c>
      <c r="J69" s="29">
        <v>45</v>
      </c>
      <c r="K69" s="29">
        <v>48</v>
      </c>
      <c r="L69" s="29">
        <v>48</v>
      </c>
      <c r="M69" s="29">
        <v>48</v>
      </c>
      <c r="N69" s="29">
        <v>48</v>
      </c>
      <c r="O69" s="29">
        <v>48</v>
      </c>
      <c r="P69" s="29">
        <v>48</v>
      </c>
      <c r="Q69" s="29">
        <v>48</v>
      </c>
      <c r="R69" s="29">
        <v>48</v>
      </c>
      <c r="S69" s="29">
        <v>44</v>
      </c>
      <c r="T69" s="29">
        <v>44</v>
      </c>
    </row>
    <row r="70" spans="1:20" s="32" customFormat="1" ht="15.75" customHeight="1" x14ac:dyDescent="0.3">
      <c r="A70" s="27">
        <v>1983</v>
      </c>
      <c r="B70" s="27">
        <v>12</v>
      </c>
      <c r="C70" s="28">
        <f t="shared" si="8"/>
        <v>47</v>
      </c>
      <c r="D70" s="28">
        <f t="shared" si="9"/>
        <v>564</v>
      </c>
      <c r="E70" s="29">
        <v>1856.07</v>
      </c>
      <c r="F70" s="29">
        <f t="shared" si="10"/>
        <v>39.490851063829787</v>
      </c>
      <c r="G70" s="30">
        <f t="shared" si="7"/>
        <v>2.5322320817641578E-2</v>
      </c>
      <c r="H70" s="31"/>
      <c r="I70" s="29">
        <v>44</v>
      </c>
      <c r="J70" s="29">
        <v>44</v>
      </c>
      <c r="K70" s="29">
        <v>47</v>
      </c>
      <c r="L70" s="29">
        <v>47</v>
      </c>
      <c r="M70" s="29">
        <v>47</v>
      </c>
      <c r="N70" s="29">
        <v>47</v>
      </c>
      <c r="O70" s="29">
        <v>47</v>
      </c>
      <c r="P70" s="29">
        <v>47</v>
      </c>
      <c r="Q70" s="29">
        <v>47</v>
      </c>
      <c r="R70" s="29">
        <v>47</v>
      </c>
      <c r="S70" s="29">
        <v>50</v>
      </c>
      <c r="T70" s="29">
        <v>50</v>
      </c>
    </row>
    <row r="71" spans="1:20" s="32" customFormat="1" ht="15.75" customHeight="1" x14ac:dyDescent="0.3">
      <c r="A71" s="27">
        <v>1984</v>
      </c>
      <c r="B71" s="27">
        <v>12</v>
      </c>
      <c r="C71" s="28">
        <f t="shared" si="8"/>
        <v>53</v>
      </c>
      <c r="D71" s="28">
        <f t="shared" si="9"/>
        <v>636</v>
      </c>
      <c r="E71" s="29">
        <v>1856.07</v>
      </c>
      <c r="F71" s="29">
        <f t="shared" si="10"/>
        <v>35.02018867924528</v>
      </c>
      <c r="G71" s="30">
        <f t="shared" si="7"/>
        <v>2.8554957517766034E-2</v>
      </c>
      <c r="H71" s="31"/>
      <c r="I71" s="29">
        <v>50</v>
      </c>
      <c r="J71" s="29">
        <v>50</v>
      </c>
      <c r="K71" s="29">
        <v>54.5</v>
      </c>
      <c r="L71" s="29">
        <v>54.5</v>
      </c>
      <c r="M71" s="29">
        <v>54.5</v>
      </c>
      <c r="N71" s="29">
        <v>54.5</v>
      </c>
      <c r="O71" s="29">
        <v>54.5</v>
      </c>
      <c r="P71" s="29">
        <v>54.5</v>
      </c>
      <c r="Q71" s="29">
        <v>54.5</v>
      </c>
      <c r="R71" s="29">
        <v>54.5</v>
      </c>
      <c r="S71" s="29">
        <v>50</v>
      </c>
      <c r="T71" s="29">
        <v>50</v>
      </c>
    </row>
    <row r="72" spans="1:20" s="32" customFormat="1" ht="15.75" customHeight="1" x14ac:dyDescent="0.3">
      <c r="A72" s="27">
        <v>1985</v>
      </c>
      <c r="B72" s="27">
        <v>12</v>
      </c>
      <c r="C72" s="28">
        <f t="shared" si="8"/>
        <v>53</v>
      </c>
      <c r="D72" s="28">
        <f t="shared" si="9"/>
        <v>636</v>
      </c>
      <c r="E72" s="29">
        <v>1856.07</v>
      </c>
      <c r="F72" s="29">
        <f t="shared" si="10"/>
        <v>35.02018867924528</v>
      </c>
      <c r="G72" s="30">
        <f t="shared" si="7"/>
        <v>2.8554957517766034E-2</v>
      </c>
      <c r="H72" s="31"/>
      <c r="I72" s="29">
        <v>50</v>
      </c>
      <c r="J72" s="29">
        <v>50</v>
      </c>
      <c r="K72" s="29">
        <v>54.5</v>
      </c>
      <c r="L72" s="29">
        <v>54.5</v>
      </c>
      <c r="M72" s="29">
        <v>54.5</v>
      </c>
      <c r="N72" s="29">
        <v>54.5</v>
      </c>
      <c r="O72" s="29">
        <v>54.5</v>
      </c>
      <c r="P72" s="29">
        <v>54.5</v>
      </c>
      <c r="Q72" s="29">
        <v>54.5</v>
      </c>
      <c r="R72" s="29">
        <v>54.5</v>
      </c>
      <c r="S72" s="29">
        <v>50</v>
      </c>
      <c r="T72" s="29">
        <v>50</v>
      </c>
    </row>
    <row r="73" spans="1:20" s="32" customFormat="1" ht="15.75" customHeight="1" x14ac:dyDescent="0.3">
      <c r="A73" s="27">
        <v>1986</v>
      </c>
      <c r="B73" s="27">
        <v>12</v>
      </c>
      <c r="C73" s="28">
        <f t="shared" si="8"/>
        <v>53</v>
      </c>
      <c r="D73" s="28">
        <f t="shared" si="9"/>
        <v>636</v>
      </c>
      <c r="E73" s="29">
        <v>1856.07</v>
      </c>
      <c r="F73" s="29">
        <f t="shared" si="10"/>
        <v>35.02018867924528</v>
      </c>
      <c r="G73" s="30">
        <f t="shared" si="7"/>
        <v>2.8554957517766034E-2</v>
      </c>
      <c r="H73" s="31"/>
      <c r="I73" s="29">
        <v>50</v>
      </c>
      <c r="J73" s="29">
        <v>50</v>
      </c>
      <c r="K73" s="29">
        <v>54.5</v>
      </c>
      <c r="L73" s="29">
        <v>54.5</v>
      </c>
      <c r="M73" s="29">
        <v>54.5</v>
      </c>
      <c r="N73" s="29">
        <v>54.5</v>
      </c>
      <c r="O73" s="29">
        <v>54.5</v>
      </c>
      <c r="P73" s="29">
        <v>54.5</v>
      </c>
      <c r="Q73" s="29">
        <v>54.5</v>
      </c>
      <c r="R73" s="29">
        <v>54.5</v>
      </c>
      <c r="S73" s="29">
        <v>50</v>
      </c>
      <c r="T73" s="29">
        <v>50</v>
      </c>
    </row>
    <row r="74" spans="1:20" s="32" customFormat="1" ht="15.75" customHeight="1" x14ac:dyDescent="0.3">
      <c r="A74" s="27">
        <v>1987</v>
      </c>
      <c r="B74" s="27">
        <v>12</v>
      </c>
      <c r="C74" s="28">
        <f t="shared" si="8"/>
        <v>44.666666666666664</v>
      </c>
      <c r="D74" s="28">
        <f t="shared" si="9"/>
        <v>536</v>
      </c>
      <c r="E74" s="29">
        <v>1856.07</v>
      </c>
      <c r="F74" s="29">
        <f t="shared" si="10"/>
        <v>41.553805970149256</v>
      </c>
      <c r="G74" s="30">
        <f t="shared" si="7"/>
        <v>2.406518432314873E-2</v>
      </c>
      <c r="H74" s="31"/>
      <c r="I74" s="29">
        <v>50</v>
      </c>
      <c r="J74" s="29">
        <v>50</v>
      </c>
      <c r="K74" s="29">
        <v>54.5</v>
      </c>
      <c r="L74" s="29">
        <v>54.5</v>
      </c>
      <c r="M74" s="29">
        <v>54.5</v>
      </c>
      <c r="N74" s="29">
        <v>54.5</v>
      </c>
      <c r="O74" s="29">
        <v>54.5</v>
      </c>
      <c r="P74" s="29">
        <v>54.5</v>
      </c>
      <c r="Q74" s="29">
        <v>54.5</v>
      </c>
      <c r="R74" s="29">
        <v>54.5</v>
      </c>
      <c r="S74" s="29"/>
      <c r="T74" s="29"/>
    </row>
    <row r="75" spans="1:20" s="32" customFormat="1" ht="15.75" customHeight="1" x14ac:dyDescent="0.3">
      <c r="A75" s="27">
        <v>1988</v>
      </c>
      <c r="B75" s="27">
        <v>12</v>
      </c>
      <c r="C75" s="28">
        <f t="shared" si="8"/>
        <v>8.3333333333333339</v>
      </c>
      <c r="D75" s="28">
        <f t="shared" si="9"/>
        <v>100</v>
      </c>
      <c r="E75" s="29">
        <v>1856.07</v>
      </c>
      <c r="F75" s="29">
        <f t="shared" si="10"/>
        <v>222.72839999999997</v>
      </c>
      <c r="G75" s="30">
        <f t="shared" si="7"/>
        <v>4.4897731946173013E-3</v>
      </c>
      <c r="H75" s="3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>
        <v>50</v>
      </c>
      <c r="T75" s="29">
        <v>50</v>
      </c>
    </row>
    <row r="76" spans="1:20" s="32" customFormat="1" ht="15.75" customHeight="1" x14ac:dyDescent="0.3">
      <c r="A76" s="27">
        <v>1989</v>
      </c>
      <c r="B76" s="27">
        <v>12</v>
      </c>
      <c r="C76" s="28">
        <f t="shared" si="8"/>
        <v>52.166666666666664</v>
      </c>
      <c r="D76" s="28">
        <f t="shared" si="9"/>
        <v>626</v>
      </c>
      <c r="E76" s="29">
        <v>1856.07</v>
      </c>
      <c r="F76" s="29">
        <f t="shared" si="10"/>
        <v>35.57961661341853</v>
      </c>
      <c r="G76" s="30">
        <f t="shared" si="7"/>
        <v>2.8105980198304303E-2</v>
      </c>
      <c r="H76" s="31"/>
      <c r="I76" s="29">
        <v>50</v>
      </c>
      <c r="J76" s="29">
        <v>50</v>
      </c>
      <c r="K76" s="29">
        <v>54.5</v>
      </c>
      <c r="L76" s="29">
        <v>54.5</v>
      </c>
      <c r="M76" s="29">
        <v>54.5</v>
      </c>
      <c r="N76" s="29">
        <v>54.5</v>
      </c>
      <c r="O76" s="29">
        <v>54.5</v>
      </c>
      <c r="P76" s="29">
        <v>54.5</v>
      </c>
      <c r="Q76" s="29">
        <v>54.5</v>
      </c>
      <c r="R76" s="29">
        <v>54.5</v>
      </c>
      <c r="S76" s="29">
        <v>45</v>
      </c>
      <c r="T76" s="29">
        <v>45</v>
      </c>
    </row>
    <row r="77" spans="1:20" s="32" customFormat="1" ht="15.75" customHeight="1" x14ac:dyDescent="0.3">
      <c r="A77" s="27">
        <v>1990</v>
      </c>
      <c r="B77" s="27">
        <v>12</v>
      </c>
      <c r="C77" s="28">
        <f t="shared" si="8"/>
        <v>48.833333333333336</v>
      </c>
      <c r="D77" s="28">
        <f t="shared" si="9"/>
        <v>586</v>
      </c>
      <c r="E77" s="29">
        <v>1856.07</v>
      </c>
      <c r="F77" s="29">
        <f t="shared" si="10"/>
        <v>38.008259385665525</v>
      </c>
      <c r="G77" s="30">
        <f t="shared" si="7"/>
        <v>2.6310070920457385E-2</v>
      </c>
      <c r="H77" s="31"/>
      <c r="I77" s="29">
        <v>45</v>
      </c>
      <c r="J77" s="29">
        <v>45</v>
      </c>
      <c r="K77" s="29">
        <v>49.5</v>
      </c>
      <c r="L77" s="29">
        <v>49.5</v>
      </c>
      <c r="M77" s="29">
        <v>49.5</v>
      </c>
      <c r="N77" s="29">
        <v>49.5</v>
      </c>
      <c r="O77" s="29">
        <v>49.5</v>
      </c>
      <c r="P77" s="29">
        <v>49.5</v>
      </c>
      <c r="Q77" s="29">
        <v>49.5</v>
      </c>
      <c r="R77" s="29">
        <v>49.5</v>
      </c>
      <c r="S77" s="29">
        <v>50</v>
      </c>
      <c r="T77" s="29">
        <v>50</v>
      </c>
    </row>
    <row r="78" spans="1:20" s="32" customFormat="1" ht="15.75" customHeight="1" x14ac:dyDescent="0.3">
      <c r="A78" s="27">
        <v>1991</v>
      </c>
      <c r="B78" s="27">
        <v>12</v>
      </c>
      <c r="C78" s="28">
        <f t="shared" si="8"/>
        <v>54</v>
      </c>
      <c r="D78" s="28">
        <f t="shared" si="9"/>
        <v>648</v>
      </c>
      <c r="E78" s="29">
        <v>1856.07</v>
      </c>
      <c r="F78" s="29">
        <f t="shared" si="10"/>
        <v>34.371666666666663</v>
      </c>
      <c r="G78" s="30">
        <f t="shared" si="7"/>
        <v>2.909373030112011E-2</v>
      </c>
      <c r="H78" s="31"/>
      <c r="I78" s="29">
        <v>50</v>
      </c>
      <c r="J78" s="29">
        <v>50</v>
      </c>
      <c r="K78" s="29">
        <v>56</v>
      </c>
      <c r="L78" s="29">
        <v>56</v>
      </c>
      <c r="M78" s="29">
        <v>56</v>
      </c>
      <c r="N78" s="29">
        <v>56</v>
      </c>
      <c r="O78" s="29">
        <v>56</v>
      </c>
      <c r="P78" s="29">
        <v>56</v>
      </c>
      <c r="Q78" s="29">
        <v>56</v>
      </c>
      <c r="R78" s="29">
        <v>56</v>
      </c>
      <c r="S78" s="29">
        <v>50</v>
      </c>
      <c r="T78" s="29">
        <v>50</v>
      </c>
    </row>
    <row r="79" spans="1:20" s="32" customFormat="1" ht="15.75" customHeight="1" x14ac:dyDescent="0.3">
      <c r="A79" s="27">
        <v>1992</v>
      </c>
      <c r="B79" s="27">
        <v>12</v>
      </c>
      <c r="C79" s="28">
        <f t="shared" si="8"/>
        <v>54</v>
      </c>
      <c r="D79" s="28">
        <f t="shared" si="9"/>
        <v>648</v>
      </c>
      <c r="E79" s="29">
        <v>1856.07</v>
      </c>
      <c r="F79" s="29">
        <f t="shared" si="10"/>
        <v>34.371666666666663</v>
      </c>
      <c r="G79" s="30">
        <f t="shared" si="7"/>
        <v>2.909373030112011E-2</v>
      </c>
      <c r="H79" s="31"/>
      <c r="I79" s="29">
        <v>50</v>
      </c>
      <c r="J79" s="29">
        <v>50</v>
      </c>
      <c r="K79" s="29">
        <v>56</v>
      </c>
      <c r="L79" s="29">
        <v>56</v>
      </c>
      <c r="M79" s="29">
        <v>56</v>
      </c>
      <c r="N79" s="29">
        <v>56</v>
      </c>
      <c r="O79" s="29">
        <v>56</v>
      </c>
      <c r="P79" s="29">
        <v>56</v>
      </c>
      <c r="Q79" s="29">
        <v>56</v>
      </c>
      <c r="R79" s="29">
        <v>56</v>
      </c>
      <c r="S79" s="29">
        <v>50</v>
      </c>
      <c r="T79" s="29">
        <v>50</v>
      </c>
    </row>
    <row r="80" spans="1:20" s="32" customFormat="1" ht="15.75" customHeight="1" x14ac:dyDescent="0.3">
      <c r="A80" s="27">
        <v>1993</v>
      </c>
      <c r="B80" s="27">
        <v>12</v>
      </c>
      <c r="C80" s="28">
        <f t="shared" si="8"/>
        <v>54.833333333333336</v>
      </c>
      <c r="D80" s="28">
        <f t="shared" si="9"/>
        <v>658</v>
      </c>
      <c r="E80" s="29">
        <v>1856.07</v>
      </c>
      <c r="F80" s="29">
        <f t="shared" si="10"/>
        <v>33.849300911854101</v>
      </c>
      <c r="G80" s="30">
        <f t="shared" si="7"/>
        <v>2.9542707620581841E-2</v>
      </c>
      <c r="H80" s="31"/>
      <c r="I80" s="29">
        <v>50</v>
      </c>
      <c r="J80" s="29">
        <v>50</v>
      </c>
      <c r="K80" s="29">
        <v>56</v>
      </c>
      <c r="L80" s="29">
        <v>56</v>
      </c>
      <c r="M80" s="29">
        <v>56</v>
      </c>
      <c r="N80" s="29">
        <v>56</v>
      </c>
      <c r="O80" s="29">
        <v>56</v>
      </c>
      <c r="P80" s="29">
        <v>56</v>
      </c>
      <c r="Q80" s="29">
        <v>56</v>
      </c>
      <c r="R80" s="29">
        <v>56</v>
      </c>
      <c r="S80" s="29">
        <v>55</v>
      </c>
      <c r="T80" s="29">
        <v>55</v>
      </c>
    </row>
    <row r="81" spans="1:20" s="32" customFormat="1" ht="15.75" customHeight="1" x14ac:dyDescent="0.3">
      <c r="A81" s="27">
        <v>1994</v>
      </c>
      <c r="B81" s="27">
        <v>12</v>
      </c>
      <c r="C81" s="28">
        <f t="shared" si="8"/>
        <v>59.833333333333336</v>
      </c>
      <c r="D81" s="28">
        <f t="shared" si="9"/>
        <v>718</v>
      </c>
      <c r="E81" s="29">
        <v>1856.07</v>
      </c>
      <c r="F81" s="29">
        <f t="shared" si="10"/>
        <v>31.020668523676878</v>
      </c>
      <c r="G81" s="30">
        <f t="shared" si="7"/>
        <v>3.2236571537352224E-2</v>
      </c>
      <c r="H81" s="31"/>
      <c r="I81" s="29">
        <v>55</v>
      </c>
      <c r="J81" s="29">
        <v>55</v>
      </c>
      <c r="K81" s="29">
        <v>61</v>
      </c>
      <c r="L81" s="29">
        <v>61</v>
      </c>
      <c r="M81" s="29">
        <v>61</v>
      </c>
      <c r="N81" s="29">
        <v>61</v>
      </c>
      <c r="O81" s="29">
        <v>61</v>
      </c>
      <c r="P81" s="29">
        <v>61</v>
      </c>
      <c r="Q81" s="29">
        <v>61</v>
      </c>
      <c r="R81" s="29">
        <v>61</v>
      </c>
      <c r="S81" s="29">
        <v>60</v>
      </c>
      <c r="T81" s="29">
        <v>60</v>
      </c>
    </row>
    <row r="82" spans="1:20" s="32" customFormat="1" ht="15.75" customHeight="1" x14ac:dyDescent="0.3">
      <c r="A82" s="27">
        <v>1995</v>
      </c>
      <c r="B82" s="27">
        <v>12</v>
      </c>
      <c r="C82" s="28">
        <f t="shared" si="8"/>
        <v>64</v>
      </c>
      <c r="D82" s="28">
        <f t="shared" si="9"/>
        <v>768</v>
      </c>
      <c r="E82" s="29">
        <v>1856.07</v>
      </c>
      <c r="F82" s="29">
        <f t="shared" si="10"/>
        <v>29.001093749999999</v>
      </c>
      <c r="G82" s="30">
        <f t="shared" si="7"/>
        <v>3.4481458134660872E-2</v>
      </c>
      <c r="H82" s="31"/>
      <c r="I82" s="29">
        <v>60</v>
      </c>
      <c r="J82" s="29">
        <v>60</v>
      </c>
      <c r="K82" s="29">
        <v>66</v>
      </c>
      <c r="L82" s="29">
        <v>66</v>
      </c>
      <c r="M82" s="29">
        <v>66</v>
      </c>
      <c r="N82" s="29">
        <v>66</v>
      </c>
      <c r="O82" s="29">
        <v>66</v>
      </c>
      <c r="P82" s="29">
        <v>66</v>
      </c>
      <c r="Q82" s="29">
        <v>66</v>
      </c>
      <c r="R82" s="29">
        <v>66</v>
      </c>
      <c r="S82" s="29">
        <v>60</v>
      </c>
      <c r="T82" s="29">
        <v>60</v>
      </c>
    </row>
    <row r="83" spans="1:20" s="32" customFormat="1" ht="15.75" customHeight="1" x14ac:dyDescent="0.3">
      <c r="A83" s="27">
        <v>1996</v>
      </c>
      <c r="B83" s="27">
        <v>12</v>
      </c>
      <c r="C83" s="28">
        <f t="shared" si="8"/>
        <v>64.166666666666671</v>
      </c>
      <c r="D83" s="28">
        <f t="shared" si="9"/>
        <v>770</v>
      </c>
      <c r="E83" s="29">
        <v>1856.07</v>
      </c>
      <c r="F83" s="29">
        <f t="shared" si="10"/>
        <v>28.925766233766229</v>
      </c>
      <c r="G83" s="30">
        <f t="shared" si="7"/>
        <v>3.4571253598553217E-2</v>
      </c>
      <c r="H83" s="31"/>
      <c r="I83" s="29">
        <v>60</v>
      </c>
      <c r="J83" s="29">
        <v>60</v>
      </c>
      <c r="K83" s="29">
        <v>66</v>
      </c>
      <c r="L83" s="29">
        <v>66</v>
      </c>
      <c r="M83" s="29">
        <v>66</v>
      </c>
      <c r="N83" s="29">
        <v>66</v>
      </c>
      <c r="O83" s="29">
        <v>66</v>
      </c>
      <c r="P83" s="29">
        <v>66</v>
      </c>
      <c r="Q83" s="29">
        <v>66</v>
      </c>
      <c r="R83" s="29">
        <v>66</v>
      </c>
      <c r="S83" s="29">
        <v>61</v>
      </c>
      <c r="T83" s="29">
        <v>61</v>
      </c>
    </row>
    <row r="84" spans="1:20" s="32" customFormat="1" ht="15.75" customHeight="1" x14ac:dyDescent="0.3">
      <c r="A84" s="27">
        <v>1997</v>
      </c>
      <c r="B84" s="27">
        <v>12</v>
      </c>
      <c r="C84" s="28">
        <f t="shared" si="8"/>
        <v>60.166666666666664</v>
      </c>
      <c r="D84" s="28">
        <f t="shared" si="9"/>
        <v>722</v>
      </c>
      <c r="E84" s="29">
        <v>1856.07</v>
      </c>
      <c r="F84" s="29">
        <f t="shared" si="10"/>
        <v>30.848808864265926</v>
      </c>
      <c r="G84" s="30">
        <f t="shared" si="7"/>
        <v>3.2416162465136913E-2</v>
      </c>
      <c r="H84" s="31"/>
      <c r="I84" s="29">
        <v>61</v>
      </c>
      <c r="J84" s="29">
        <v>61</v>
      </c>
      <c r="K84" s="29">
        <v>61</v>
      </c>
      <c r="L84" s="29">
        <v>61</v>
      </c>
      <c r="M84" s="29">
        <v>61</v>
      </c>
      <c r="N84" s="29">
        <v>61</v>
      </c>
      <c r="O84" s="29">
        <v>61</v>
      </c>
      <c r="P84" s="29">
        <v>61</v>
      </c>
      <c r="Q84" s="29">
        <v>61</v>
      </c>
      <c r="R84" s="29">
        <v>61</v>
      </c>
      <c r="S84" s="29">
        <v>56</v>
      </c>
      <c r="T84" s="29">
        <v>56</v>
      </c>
    </row>
    <row r="85" spans="1:20" s="32" customFormat="1" ht="15.75" customHeight="1" x14ac:dyDescent="0.3">
      <c r="A85" s="27">
        <v>1998</v>
      </c>
      <c r="B85" s="27">
        <v>12</v>
      </c>
      <c r="C85" s="28">
        <f t="shared" si="8"/>
        <v>55</v>
      </c>
      <c r="D85" s="28">
        <f t="shared" si="9"/>
        <v>660</v>
      </c>
      <c r="E85" s="29">
        <v>1856.07</v>
      </c>
      <c r="F85" s="29">
        <f t="shared" si="10"/>
        <v>33.74672727272727</v>
      </c>
      <c r="G85" s="30">
        <f t="shared" si="7"/>
        <v>2.9632503084474186E-2</v>
      </c>
      <c r="H85" s="31"/>
      <c r="I85" s="29">
        <v>56</v>
      </c>
      <c r="J85" s="29">
        <v>56</v>
      </c>
      <c r="K85" s="29">
        <v>56</v>
      </c>
      <c r="L85" s="29">
        <v>56</v>
      </c>
      <c r="M85" s="29">
        <v>56</v>
      </c>
      <c r="N85" s="29">
        <v>56</v>
      </c>
      <c r="O85" s="29">
        <v>56</v>
      </c>
      <c r="P85" s="29">
        <v>56</v>
      </c>
      <c r="Q85" s="29">
        <v>56</v>
      </c>
      <c r="R85" s="29">
        <v>56</v>
      </c>
      <c r="S85" s="29">
        <v>50</v>
      </c>
      <c r="T85" s="29">
        <v>50</v>
      </c>
    </row>
    <row r="86" spans="1:20" s="32" customFormat="1" ht="15.75" customHeight="1" x14ac:dyDescent="0.3">
      <c r="A86" s="27">
        <v>1999</v>
      </c>
      <c r="B86" s="27">
        <v>12</v>
      </c>
      <c r="C86" s="28">
        <f t="shared" si="8"/>
        <v>53</v>
      </c>
      <c r="D86" s="28">
        <f t="shared" si="9"/>
        <v>636</v>
      </c>
      <c r="E86" s="29">
        <v>1856.07</v>
      </c>
      <c r="F86" s="29">
        <f t="shared" si="10"/>
        <v>35.02018867924528</v>
      </c>
      <c r="G86" s="30">
        <f t="shared" si="7"/>
        <v>2.8554957517766034E-2</v>
      </c>
      <c r="H86" s="31"/>
      <c r="I86" s="29">
        <v>50</v>
      </c>
      <c r="J86" s="29">
        <v>50</v>
      </c>
      <c r="K86" s="29">
        <v>56</v>
      </c>
      <c r="L86" s="29">
        <v>56</v>
      </c>
      <c r="M86" s="29">
        <v>56</v>
      </c>
      <c r="N86" s="29">
        <v>56</v>
      </c>
      <c r="O86" s="29">
        <v>56</v>
      </c>
      <c r="P86" s="29">
        <v>56</v>
      </c>
      <c r="Q86" s="29">
        <v>50</v>
      </c>
      <c r="R86" s="29">
        <v>50</v>
      </c>
      <c r="S86" s="29">
        <v>50</v>
      </c>
      <c r="T86" s="29">
        <v>50</v>
      </c>
    </row>
    <row r="87" spans="1:20" s="32" customFormat="1" ht="15.75" customHeight="1" x14ac:dyDescent="0.3">
      <c r="A87" s="27">
        <v>2000</v>
      </c>
      <c r="B87" s="27">
        <v>12</v>
      </c>
      <c r="C87" s="28">
        <f t="shared" si="8"/>
        <v>53</v>
      </c>
      <c r="D87" s="28">
        <f t="shared" si="9"/>
        <v>636</v>
      </c>
      <c r="E87" s="29">
        <v>1856.07</v>
      </c>
      <c r="F87" s="29">
        <f t="shared" si="10"/>
        <v>35.02018867924528</v>
      </c>
      <c r="G87" s="30">
        <f t="shared" si="7"/>
        <v>2.8554957517766034E-2</v>
      </c>
      <c r="H87" s="31"/>
      <c r="I87" s="29">
        <v>50</v>
      </c>
      <c r="J87" s="29">
        <v>50</v>
      </c>
      <c r="K87" s="29">
        <v>56</v>
      </c>
      <c r="L87" s="29">
        <v>56</v>
      </c>
      <c r="M87" s="29">
        <v>56</v>
      </c>
      <c r="N87" s="29">
        <v>56</v>
      </c>
      <c r="O87" s="29">
        <v>56</v>
      </c>
      <c r="P87" s="29">
        <v>56</v>
      </c>
      <c r="Q87" s="29">
        <v>50</v>
      </c>
      <c r="R87" s="29">
        <v>50</v>
      </c>
      <c r="S87" s="29">
        <v>50</v>
      </c>
      <c r="T87" s="29">
        <v>50</v>
      </c>
    </row>
    <row r="88" spans="1:20" s="32" customFormat="1" ht="15.75" customHeight="1" x14ac:dyDescent="0.3">
      <c r="A88" s="27">
        <v>2001</v>
      </c>
      <c r="B88" s="27">
        <v>12</v>
      </c>
      <c r="C88" s="28">
        <f t="shared" si="8"/>
        <v>52.25</v>
      </c>
      <c r="D88" s="28">
        <f t="shared" si="9"/>
        <v>627</v>
      </c>
      <c r="E88" s="29">
        <v>1856.07</v>
      </c>
      <c r="F88" s="29">
        <f t="shared" si="10"/>
        <v>35.522870813397127</v>
      </c>
      <c r="G88" s="30">
        <f t="shared" si="7"/>
        <v>2.8150877930250475E-2</v>
      </c>
      <c r="H88" s="31"/>
      <c r="I88" s="29">
        <v>50</v>
      </c>
      <c r="J88" s="29">
        <v>50</v>
      </c>
      <c r="K88" s="29">
        <v>54.5</v>
      </c>
      <c r="L88" s="29">
        <v>54.5</v>
      </c>
      <c r="M88" s="29">
        <v>54.5</v>
      </c>
      <c r="N88" s="29">
        <v>54.5</v>
      </c>
      <c r="O88" s="29">
        <v>54.5</v>
      </c>
      <c r="P88" s="29">
        <v>54.5</v>
      </c>
      <c r="Q88" s="29">
        <v>50</v>
      </c>
      <c r="R88" s="29">
        <v>50</v>
      </c>
      <c r="S88" s="29">
        <v>50</v>
      </c>
      <c r="T88" s="29">
        <v>50</v>
      </c>
    </row>
    <row r="89" spans="1:20" s="32" customFormat="1" ht="15.75" customHeight="1" x14ac:dyDescent="0.3">
      <c r="A89" s="27">
        <v>2002</v>
      </c>
      <c r="B89" s="27">
        <v>12</v>
      </c>
      <c r="C89" s="28">
        <f t="shared" si="8"/>
        <v>52.25</v>
      </c>
      <c r="D89" s="28">
        <f t="shared" si="9"/>
        <v>627</v>
      </c>
      <c r="E89" s="29">
        <v>1856.07</v>
      </c>
      <c r="F89" s="29">
        <f t="shared" si="10"/>
        <v>35.522870813397127</v>
      </c>
      <c r="G89" s="30">
        <f t="shared" si="7"/>
        <v>2.8150877930250475E-2</v>
      </c>
      <c r="H89" s="31"/>
      <c r="I89" s="29">
        <v>50</v>
      </c>
      <c r="J89" s="29">
        <v>50</v>
      </c>
      <c r="K89" s="29">
        <v>54.5</v>
      </c>
      <c r="L89" s="29">
        <v>54.5</v>
      </c>
      <c r="M89" s="29">
        <v>54.5</v>
      </c>
      <c r="N89" s="29">
        <v>54.5</v>
      </c>
      <c r="O89" s="29">
        <v>54.5</v>
      </c>
      <c r="P89" s="29">
        <v>54.5</v>
      </c>
      <c r="Q89" s="29">
        <v>50</v>
      </c>
      <c r="R89" s="29">
        <v>50</v>
      </c>
      <c r="S89" s="29">
        <v>50</v>
      </c>
      <c r="T89" s="29">
        <v>50</v>
      </c>
    </row>
    <row r="90" spans="1:20" s="32" customFormat="1" ht="15.75" customHeight="1" x14ac:dyDescent="0.3">
      <c r="A90" s="27">
        <v>2003</v>
      </c>
      <c r="B90" s="27">
        <v>12</v>
      </c>
      <c r="C90" s="28">
        <f t="shared" si="8"/>
        <v>52.25</v>
      </c>
      <c r="D90" s="28">
        <f t="shared" si="9"/>
        <v>627</v>
      </c>
      <c r="E90" s="29">
        <v>1856.07</v>
      </c>
      <c r="F90" s="29">
        <f t="shared" si="10"/>
        <v>35.522870813397127</v>
      </c>
      <c r="G90" s="30">
        <f t="shared" si="7"/>
        <v>2.8150877930250475E-2</v>
      </c>
      <c r="H90" s="31"/>
      <c r="I90" s="29">
        <v>50</v>
      </c>
      <c r="J90" s="29">
        <v>50</v>
      </c>
      <c r="K90" s="29">
        <v>54.5</v>
      </c>
      <c r="L90" s="29">
        <v>54.5</v>
      </c>
      <c r="M90" s="29">
        <v>54.5</v>
      </c>
      <c r="N90" s="29">
        <v>54.5</v>
      </c>
      <c r="O90" s="29">
        <v>54.5</v>
      </c>
      <c r="P90" s="29">
        <v>54.5</v>
      </c>
      <c r="Q90" s="29">
        <v>50</v>
      </c>
      <c r="R90" s="29">
        <v>50</v>
      </c>
      <c r="S90" s="29">
        <v>50</v>
      </c>
      <c r="T90" s="29">
        <v>50</v>
      </c>
    </row>
    <row r="91" spans="1:20" s="32" customFormat="1" ht="15.75" customHeight="1" x14ac:dyDescent="0.3">
      <c r="A91" s="27">
        <v>2004</v>
      </c>
      <c r="B91" s="27">
        <v>12</v>
      </c>
      <c r="C91" s="28">
        <f t="shared" si="8"/>
        <v>52.25</v>
      </c>
      <c r="D91" s="28">
        <f t="shared" si="9"/>
        <v>627</v>
      </c>
      <c r="E91" s="29">
        <v>1856.07</v>
      </c>
      <c r="F91" s="29">
        <f t="shared" si="10"/>
        <v>35.522870813397127</v>
      </c>
      <c r="G91" s="30">
        <f t="shared" si="7"/>
        <v>2.8150877930250475E-2</v>
      </c>
      <c r="H91" s="31"/>
      <c r="I91" s="29">
        <v>50</v>
      </c>
      <c r="J91" s="29">
        <v>50</v>
      </c>
      <c r="K91" s="29">
        <v>54.5</v>
      </c>
      <c r="L91" s="29">
        <v>54.5</v>
      </c>
      <c r="M91" s="29">
        <v>54.5</v>
      </c>
      <c r="N91" s="29">
        <v>54.5</v>
      </c>
      <c r="O91" s="29">
        <v>54.5</v>
      </c>
      <c r="P91" s="29">
        <v>54.5</v>
      </c>
      <c r="Q91" s="29">
        <v>50</v>
      </c>
      <c r="R91" s="29">
        <v>50</v>
      </c>
      <c r="S91" s="29">
        <v>50</v>
      </c>
      <c r="T91" s="29">
        <v>50</v>
      </c>
    </row>
    <row r="92" spans="1:20" s="32" customFormat="1" ht="15.75" customHeight="1" x14ac:dyDescent="0.3">
      <c r="A92" s="27">
        <v>2005</v>
      </c>
      <c r="B92" s="27">
        <v>12</v>
      </c>
      <c r="C92" s="28">
        <f t="shared" si="8"/>
        <v>43.916666666666664</v>
      </c>
      <c r="D92" s="28">
        <f t="shared" si="9"/>
        <v>527</v>
      </c>
      <c r="E92" s="29">
        <v>1856.07</v>
      </c>
      <c r="F92" s="29">
        <f t="shared" si="10"/>
        <v>42.263453510436435</v>
      </c>
      <c r="G92" s="30">
        <f t="shared" si="7"/>
        <v>2.3661104735633175E-2</v>
      </c>
      <c r="H92" s="31"/>
      <c r="I92" s="29">
        <v>50</v>
      </c>
      <c r="J92" s="29">
        <v>50</v>
      </c>
      <c r="K92" s="29">
        <v>54.5</v>
      </c>
      <c r="L92" s="29">
        <v>54.5</v>
      </c>
      <c r="M92" s="29">
        <v>54.5</v>
      </c>
      <c r="N92" s="29">
        <v>54.5</v>
      </c>
      <c r="O92" s="29">
        <v>54.5</v>
      </c>
      <c r="P92" s="29">
        <v>54.5</v>
      </c>
      <c r="Q92" s="29">
        <v>50</v>
      </c>
      <c r="R92" s="29">
        <v>50</v>
      </c>
      <c r="S92" s="29">
        <v>0</v>
      </c>
      <c r="T92" s="29">
        <v>0</v>
      </c>
    </row>
    <row r="93" spans="1:20" s="32" customFormat="1" ht="15.75" customHeight="1" x14ac:dyDescent="0.3">
      <c r="A93" s="27">
        <v>2006</v>
      </c>
      <c r="B93" s="27">
        <v>12</v>
      </c>
      <c r="C93" s="28">
        <f t="shared" si="8"/>
        <v>46.383333333333333</v>
      </c>
      <c r="D93" s="28">
        <f t="shared" si="9"/>
        <v>556.6</v>
      </c>
      <c r="E93" s="29">
        <v>1856.07</v>
      </c>
      <c r="F93" s="29">
        <f t="shared" si="10"/>
        <v>40.01588214157384</v>
      </c>
      <c r="G93" s="30">
        <f t="shared" si="7"/>
        <v>2.4990077601239898E-2</v>
      </c>
      <c r="H93" s="31"/>
      <c r="I93" s="29">
        <v>50</v>
      </c>
      <c r="J93" s="29">
        <v>50</v>
      </c>
      <c r="K93" s="29">
        <v>50</v>
      </c>
      <c r="L93" s="29">
        <v>50</v>
      </c>
      <c r="M93" s="29">
        <v>50</v>
      </c>
      <c r="N93" s="29">
        <v>50</v>
      </c>
      <c r="O93" s="29">
        <v>50</v>
      </c>
      <c r="P93" s="29">
        <v>50</v>
      </c>
      <c r="Q93" s="29">
        <v>50</v>
      </c>
      <c r="R93" s="29">
        <v>50</v>
      </c>
      <c r="S93" s="29">
        <v>41.6</v>
      </c>
      <c r="T93" s="29">
        <v>15</v>
      </c>
    </row>
    <row r="94" spans="1:20" s="32" customFormat="1" ht="15.75" customHeight="1" x14ac:dyDescent="0.3">
      <c r="A94" s="27">
        <v>2007</v>
      </c>
      <c r="B94" s="27">
        <v>12</v>
      </c>
      <c r="C94" s="28">
        <f t="shared" si="8"/>
        <v>1.8083333333333336</v>
      </c>
      <c r="D94" s="28">
        <f t="shared" si="9"/>
        <v>21.700000000000003</v>
      </c>
      <c r="E94" s="29">
        <v>1856.07</v>
      </c>
      <c r="F94" s="29">
        <f t="shared" si="10"/>
        <v>1026.3981566820275</v>
      </c>
      <c r="G94" s="30">
        <f t="shared" si="7"/>
        <v>9.7428078323195445E-4</v>
      </c>
      <c r="H94" s="31"/>
      <c r="I94" s="29">
        <v>11.4</v>
      </c>
      <c r="J94" s="29">
        <v>0</v>
      </c>
      <c r="K94" s="29">
        <v>0</v>
      </c>
      <c r="L94" s="29">
        <v>0</v>
      </c>
      <c r="M94" s="29">
        <v>10.199999999999999</v>
      </c>
      <c r="N94" s="29">
        <v>0.1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</row>
    <row r="95" spans="1:20" s="32" customFormat="1" ht="15.75" customHeight="1" x14ac:dyDescent="0.3">
      <c r="A95" s="27">
        <v>2008</v>
      </c>
      <c r="B95" s="27">
        <v>12</v>
      </c>
      <c r="C95" s="28">
        <f t="shared" si="8"/>
        <v>70.808333333333323</v>
      </c>
      <c r="D95" s="28">
        <f t="shared" si="9"/>
        <v>849.69999999999993</v>
      </c>
      <c r="E95" s="29">
        <v>1856.07</v>
      </c>
      <c r="F95" s="29">
        <f t="shared" si="10"/>
        <v>26.212592679769333</v>
      </c>
      <c r="G95" s="30">
        <f t="shared" si="7"/>
        <v>3.8149602834663197E-2</v>
      </c>
      <c r="H95" s="31"/>
      <c r="I95" s="29">
        <v>426.8</v>
      </c>
      <c r="J95" s="29">
        <v>70.3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97</v>
      </c>
      <c r="R95" s="29">
        <v>252.2</v>
      </c>
      <c r="S95" s="29">
        <v>3.4</v>
      </c>
      <c r="T95" s="29">
        <v>0</v>
      </c>
    </row>
    <row r="96" spans="1:20" s="32" customFormat="1" ht="15.75" customHeight="1" x14ac:dyDescent="0.3">
      <c r="A96" s="27">
        <v>2009</v>
      </c>
      <c r="B96" s="27">
        <v>12</v>
      </c>
      <c r="C96" s="28">
        <f t="shared" si="8"/>
        <v>52.92499999999999</v>
      </c>
      <c r="D96" s="28">
        <f t="shared" si="9"/>
        <v>635.09999999999991</v>
      </c>
      <c r="E96" s="29">
        <v>1856.07</v>
      </c>
      <c r="F96" s="29">
        <f t="shared" si="10"/>
        <v>35.06981577704299</v>
      </c>
      <c r="G96" s="30">
        <f t="shared" si="7"/>
        <v>2.8514549559014474E-2</v>
      </c>
      <c r="H96" s="31"/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271.89999999999998</v>
      </c>
      <c r="R96" s="29">
        <v>363.2</v>
      </c>
      <c r="S96" s="29">
        <v>0</v>
      </c>
      <c r="T96" s="29">
        <v>0</v>
      </c>
    </row>
    <row r="97" spans="1:20" s="32" customFormat="1" ht="15.75" customHeight="1" x14ac:dyDescent="0.3">
      <c r="A97" s="27">
        <v>2010</v>
      </c>
      <c r="B97" s="27">
        <v>12</v>
      </c>
      <c r="C97" s="28">
        <f t="shared" si="8"/>
        <v>49</v>
      </c>
      <c r="D97" s="28">
        <f t="shared" si="9"/>
        <v>588</v>
      </c>
      <c r="E97" s="29">
        <v>1856.07</v>
      </c>
      <c r="F97" s="29">
        <f t="shared" si="10"/>
        <v>37.878979591836732</v>
      </c>
      <c r="G97" s="30">
        <f t="shared" si="7"/>
        <v>2.639986638434973E-2</v>
      </c>
      <c r="H97" s="31"/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168</v>
      </c>
      <c r="T97" s="29">
        <v>420</v>
      </c>
    </row>
    <row r="98" spans="1:20" s="32" customFormat="1" ht="15.75" customHeight="1" x14ac:dyDescent="0.3">
      <c r="A98" s="27">
        <v>2011</v>
      </c>
      <c r="B98" s="27">
        <v>12</v>
      </c>
      <c r="C98" s="28">
        <f t="shared" ref="C98" si="11">D98/B98</f>
        <v>46.791666666666664</v>
      </c>
      <c r="D98" s="28">
        <f t="shared" ref="D98" si="12">SUM(I98:T98)</f>
        <v>561.5</v>
      </c>
      <c r="E98" s="29">
        <v>1856.07</v>
      </c>
      <c r="F98" s="29">
        <f t="shared" ref="F98" si="13">E98/C98</f>
        <v>39.666678539626005</v>
      </c>
      <c r="G98" s="30">
        <f t="shared" si="7"/>
        <v>2.5210076487776144E-2</v>
      </c>
      <c r="H98" s="31"/>
      <c r="I98" s="29">
        <v>38.1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164.2</v>
      </c>
      <c r="R98" s="29">
        <v>350.1</v>
      </c>
      <c r="S98" s="29">
        <v>6</v>
      </c>
      <c r="T98" s="29">
        <v>3.1</v>
      </c>
    </row>
    <row r="99" spans="1:20" s="32" customFormat="1" ht="15.75" customHeight="1" x14ac:dyDescent="0.3">
      <c r="A99" s="27">
        <v>2012</v>
      </c>
      <c r="B99" s="27">
        <v>12</v>
      </c>
      <c r="C99" s="28">
        <f t="shared" ref="C99:C107" si="14">D99/B99</f>
        <v>64.383333333333326</v>
      </c>
      <c r="D99" s="28">
        <f t="shared" ref="D99:D107" si="15">SUM(I99:T99)</f>
        <v>772.59999999999991</v>
      </c>
      <c r="E99" s="29">
        <v>1856.07</v>
      </c>
      <c r="F99" s="29">
        <f t="shared" ref="F99:F107" si="16">E99/C99</f>
        <v>28.828423505047894</v>
      </c>
      <c r="G99" s="30">
        <f t="shared" ref="G99:G107" si="17">C99/E99</f>
        <v>3.4687987701613264E-2</v>
      </c>
      <c r="H99" s="31"/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27.6</v>
      </c>
      <c r="S99" s="29">
        <v>504.2</v>
      </c>
      <c r="T99" s="29">
        <v>240.8</v>
      </c>
    </row>
    <row r="100" spans="1:20" s="32" customFormat="1" ht="15.75" customHeight="1" x14ac:dyDescent="0.3">
      <c r="A100" s="27">
        <v>2013</v>
      </c>
      <c r="B100" s="27">
        <v>12</v>
      </c>
      <c r="C100" s="28">
        <f t="shared" si="14"/>
        <v>45.80833333333333</v>
      </c>
      <c r="D100" s="28">
        <f t="shared" si="15"/>
        <v>549.69999999999993</v>
      </c>
      <c r="E100" s="29">
        <v>1856.07</v>
      </c>
      <c r="F100" s="29">
        <f t="shared" si="16"/>
        <v>40.518173549208662</v>
      </c>
      <c r="G100" s="30">
        <f t="shared" si="17"/>
        <v>2.46802832508113E-2</v>
      </c>
      <c r="H100" s="31"/>
      <c r="I100" s="29">
        <v>2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65.5</v>
      </c>
      <c r="S100" s="29">
        <v>480.9</v>
      </c>
      <c r="T100" s="29">
        <v>1.3</v>
      </c>
    </row>
    <row r="101" spans="1:20" s="32" customFormat="1" ht="15.75" customHeight="1" x14ac:dyDescent="0.3">
      <c r="A101" s="27">
        <v>2014</v>
      </c>
      <c r="B101" s="27">
        <v>12</v>
      </c>
      <c r="C101" s="28">
        <f t="shared" si="14"/>
        <v>38.016666666666673</v>
      </c>
      <c r="D101" s="28">
        <f t="shared" si="15"/>
        <v>456.20000000000005</v>
      </c>
      <c r="E101" s="29">
        <v>1856.07</v>
      </c>
      <c r="F101" s="29">
        <f t="shared" si="16"/>
        <v>48.822533976326163</v>
      </c>
      <c r="G101" s="30">
        <f t="shared" si="17"/>
        <v>2.048234531384413E-2</v>
      </c>
      <c r="H101" s="31"/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225.4</v>
      </c>
      <c r="S101" s="29">
        <v>228.8</v>
      </c>
      <c r="T101" s="29">
        <v>2</v>
      </c>
    </row>
    <row r="102" spans="1:20" s="32" customFormat="1" ht="15.75" customHeight="1" x14ac:dyDescent="0.3">
      <c r="A102" s="27">
        <v>2015</v>
      </c>
      <c r="B102" s="27">
        <v>12</v>
      </c>
      <c r="C102" s="28">
        <f t="shared" si="14"/>
        <v>56.416666666666657</v>
      </c>
      <c r="D102" s="28">
        <f t="shared" si="15"/>
        <v>676.99999999999989</v>
      </c>
      <c r="E102" s="29">
        <v>1856.07</v>
      </c>
      <c r="F102" s="29">
        <f t="shared" si="16"/>
        <v>32.899320531757759</v>
      </c>
      <c r="G102" s="30">
        <f t="shared" si="17"/>
        <v>3.039576452755912E-2</v>
      </c>
      <c r="H102" s="31"/>
      <c r="I102" s="29">
        <v>0.7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157.1</v>
      </c>
      <c r="S102" s="29">
        <v>442.4</v>
      </c>
      <c r="T102" s="29">
        <v>76.8</v>
      </c>
    </row>
    <row r="103" spans="1:20" s="32" customFormat="1" ht="15.75" customHeight="1" x14ac:dyDescent="0.3">
      <c r="A103" s="27">
        <v>2016</v>
      </c>
      <c r="B103" s="27">
        <v>12</v>
      </c>
      <c r="C103" s="28">
        <f t="shared" si="14"/>
        <v>67.733333333333334</v>
      </c>
      <c r="D103" s="28">
        <f t="shared" si="15"/>
        <v>812.8</v>
      </c>
      <c r="E103" s="29">
        <v>1856.07</v>
      </c>
      <c r="F103" s="29">
        <f t="shared" si="16"/>
        <v>27.402608267716534</v>
      </c>
      <c r="G103" s="30">
        <f t="shared" si="17"/>
        <v>3.649287652584942E-2</v>
      </c>
      <c r="H103" s="31"/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342.8</v>
      </c>
      <c r="T103" s="29">
        <v>470</v>
      </c>
    </row>
    <row r="104" spans="1:20" s="32" customFormat="1" ht="15.75" customHeight="1" x14ac:dyDescent="0.3">
      <c r="A104" s="27">
        <v>2017</v>
      </c>
      <c r="B104" s="27">
        <v>12</v>
      </c>
      <c r="C104" s="28">
        <f t="shared" si="14"/>
        <v>21.408000000000001</v>
      </c>
      <c r="D104" s="28">
        <f t="shared" si="15"/>
        <v>256.89600000000002</v>
      </c>
      <c r="E104" s="29">
        <v>1856.07</v>
      </c>
      <c r="F104" s="29">
        <f t="shared" si="16"/>
        <v>86.699831838565018</v>
      </c>
      <c r="G104" s="30">
        <f t="shared" si="17"/>
        <v>1.1534047746044062E-2</v>
      </c>
      <c r="H104" s="31"/>
      <c r="I104" s="29">
        <v>90.805999999999997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166.09</v>
      </c>
    </row>
    <row r="105" spans="1:20" s="32" customFormat="1" ht="15.75" customHeight="1" x14ac:dyDescent="0.3">
      <c r="A105" s="27">
        <v>2018</v>
      </c>
      <c r="B105" s="27">
        <v>12</v>
      </c>
      <c r="C105" s="28">
        <f t="shared" si="14"/>
        <v>33.06666666666667</v>
      </c>
      <c r="D105" s="28">
        <f t="shared" si="15"/>
        <v>396.8</v>
      </c>
      <c r="E105" s="29">
        <v>1856.07</v>
      </c>
      <c r="F105" s="29">
        <f t="shared" si="16"/>
        <v>56.131149193548382</v>
      </c>
      <c r="G105" s="30">
        <f t="shared" si="17"/>
        <v>1.7815420036241453E-2</v>
      </c>
      <c r="H105" s="31"/>
      <c r="I105" s="29">
        <v>278.5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118.3</v>
      </c>
    </row>
    <row r="106" spans="1:20" s="32" customFormat="1" ht="15.75" customHeight="1" x14ac:dyDescent="0.3">
      <c r="A106" s="27">
        <v>2019</v>
      </c>
      <c r="B106" s="27">
        <v>12</v>
      </c>
      <c r="C106" s="28">
        <f t="shared" si="14"/>
        <v>86.883333333333326</v>
      </c>
      <c r="D106" s="28">
        <f t="shared" si="15"/>
        <v>1042.5999999999999</v>
      </c>
      <c r="E106" s="29">
        <v>1856.07</v>
      </c>
      <c r="F106" s="29">
        <f t="shared" si="16"/>
        <v>21.362785344331481</v>
      </c>
      <c r="G106" s="30">
        <f t="shared" si="17"/>
        <v>4.6810375327079976E-2</v>
      </c>
      <c r="H106" s="31"/>
      <c r="I106" s="29">
        <v>465</v>
      </c>
      <c r="J106" s="29">
        <v>162.69999999999999</v>
      </c>
      <c r="K106" s="29">
        <v>5.4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409.5</v>
      </c>
    </row>
    <row r="107" spans="1:20" s="32" customFormat="1" ht="15.75" customHeight="1" x14ac:dyDescent="0.3">
      <c r="A107" s="27">
        <v>2020</v>
      </c>
      <c r="B107" s="27">
        <v>12</v>
      </c>
      <c r="C107" s="28">
        <f t="shared" si="14"/>
        <v>19.925000000000001</v>
      </c>
      <c r="D107" s="28">
        <f t="shared" si="15"/>
        <v>239.1</v>
      </c>
      <c r="E107" s="29">
        <v>1856.07</v>
      </c>
      <c r="F107" s="29">
        <f t="shared" si="16"/>
        <v>93.152823086574642</v>
      </c>
      <c r="G107" s="30">
        <f t="shared" si="17"/>
        <v>1.0735047708329967E-2</v>
      </c>
      <c r="H107" s="31"/>
      <c r="I107" s="29">
        <v>239.1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</row>
    <row r="108" spans="1:20" ht="15.75" customHeight="1" x14ac:dyDescent="0.3">
      <c r="A108" s="27">
        <v>2021</v>
      </c>
      <c r="B108" s="27">
        <v>12</v>
      </c>
      <c r="C108" s="28">
        <f t="shared" ref="C108" si="18">D108/B108</f>
        <v>40.358333333333334</v>
      </c>
      <c r="D108" s="28">
        <f t="shared" ref="D108" si="19">SUM(I108:T108)</f>
        <v>484.3</v>
      </c>
      <c r="E108" s="29">
        <v>1856.07</v>
      </c>
      <c r="F108" s="29">
        <f t="shared" ref="F108" si="20">E108/C108</f>
        <v>45.989758414206065</v>
      </c>
      <c r="G108" s="30">
        <f t="shared" ref="G108" si="21">C108/E108</f>
        <v>2.1743971581531588E-2</v>
      </c>
      <c r="I108" s="29">
        <v>251.9</v>
      </c>
      <c r="J108" s="29">
        <v>101.4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131</v>
      </c>
      <c r="Q108" s="29">
        <v>0</v>
      </c>
      <c r="R108" s="29">
        <v>0</v>
      </c>
      <c r="S108" s="29">
        <v>0</v>
      </c>
      <c r="T108" s="29">
        <v>0</v>
      </c>
    </row>
    <row r="109" spans="1:20" ht="15.75" customHeight="1" x14ac:dyDescent="0.3">
      <c r="A109" s="27">
        <v>2022</v>
      </c>
      <c r="B109" s="27">
        <v>12</v>
      </c>
      <c r="C109" s="28">
        <f t="shared" ref="C109" si="22">D109/B109</f>
        <v>33.208333333333336</v>
      </c>
      <c r="D109" s="28">
        <f t="shared" ref="D109" si="23">SUM(I109:T109)</f>
        <v>398.5</v>
      </c>
      <c r="E109" s="29">
        <v>1856.07</v>
      </c>
      <c r="F109" s="29">
        <f t="shared" ref="F109" si="24">E109/C109</f>
        <v>55.891693851944787</v>
      </c>
      <c r="G109" s="30">
        <f t="shared" ref="G109" si="25">C109/E109</f>
        <v>1.7891746180549947E-2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303.3</v>
      </c>
      <c r="O109" s="29">
        <v>95.2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</row>
    <row r="110" spans="1:20" ht="15.75" customHeight="1" x14ac:dyDescent="0.3">
      <c r="A110" s="27">
        <v>2023</v>
      </c>
      <c r="B110" s="27">
        <v>12</v>
      </c>
      <c r="C110" s="28">
        <f t="shared" ref="C110" si="26">D110/B110</f>
        <v>37.966666666666669</v>
      </c>
      <c r="D110" s="28">
        <f t="shared" ref="D110" si="27">SUM(I110:T110)</f>
        <v>455.6</v>
      </c>
      <c r="E110" s="29">
        <v>1856.07</v>
      </c>
      <c r="F110" s="29">
        <f t="shared" ref="F110" si="28">E110/C110</f>
        <v>48.886830553116766</v>
      </c>
      <c r="G110" s="30">
        <f t="shared" ref="G110" si="29">C110/E110</f>
        <v>2.0455406674676425E-2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17">
        <v>159.9</v>
      </c>
      <c r="R110" s="17">
        <v>295.7</v>
      </c>
      <c r="S110" s="17">
        <v>0</v>
      </c>
      <c r="T110" s="17">
        <v>0</v>
      </c>
    </row>
    <row r="111" spans="1:20" ht="15.75" customHeight="1" x14ac:dyDescent="0.3">
      <c r="A111" s="27">
        <v>2024</v>
      </c>
      <c r="B111" s="27">
        <v>12</v>
      </c>
      <c r="C111" s="28">
        <f t="shared" ref="C111" si="30">D111/B111</f>
        <v>22.11559139784946</v>
      </c>
      <c r="D111" s="28">
        <f t="shared" ref="D111" si="31">SUM(I111:T111)</f>
        <v>265.38709677419354</v>
      </c>
      <c r="E111" s="29">
        <v>1856.07</v>
      </c>
      <c r="F111" s="29">
        <f t="shared" ref="F111" si="32">E111/C111</f>
        <v>83.925858757748884</v>
      </c>
      <c r="G111" s="30">
        <f t="shared" ref="G111" si="33">C111/E111</f>
        <v>1.1915278732940817E-2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17">
        <v>265.38709677419354</v>
      </c>
    </row>
    <row r="112" spans="1:20" ht="15.75" customHeight="1" x14ac:dyDescent="0.3">
      <c r="A112" s="27">
        <v>2025</v>
      </c>
      <c r="B112" s="27">
        <v>12</v>
      </c>
      <c r="C112" s="28">
        <f t="shared" ref="C112" si="34">D112/B112</f>
        <v>44.133333333333333</v>
      </c>
      <c r="D112" s="28">
        <f t="shared" ref="D112" si="35">SUM(I112:T112)</f>
        <v>529.6</v>
      </c>
      <c r="E112" s="29">
        <v>1856.07</v>
      </c>
      <c r="F112" s="29">
        <f>E112/C112</f>
        <v>42.055966767371601</v>
      </c>
      <c r="G112" s="30">
        <f t="shared" ref="G112" si="36">C112/E112</f>
        <v>2.3777838838693225E-2</v>
      </c>
      <c r="I112" s="29">
        <v>363.7</v>
      </c>
      <c r="J112" s="29">
        <v>165.9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</row>
  </sheetData>
  <mergeCells count="2">
    <mergeCell ref="I1:T1"/>
    <mergeCell ref="A1:G1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2"/>
  <sheetViews>
    <sheetView zoomScale="80" zoomScaleNormal="80" zoomScaleSheetLayoutView="100" workbookViewId="0">
      <pane ySplit="1455" topLeftCell="A76" activePane="bottomLeft"/>
      <selection sqref="A1:XFD1048576"/>
      <selection pane="bottomLeft" activeCell="A112" sqref="A112:XFD112"/>
    </sheetView>
  </sheetViews>
  <sheetFormatPr defaultColWidth="8.88671875" defaultRowHeight="15.75" customHeight="1" x14ac:dyDescent="0.25"/>
  <cols>
    <col min="1" max="1" width="8.88671875" style="3" customWidth="1"/>
    <col min="2" max="2" width="9.109375" style="3" customWidth="1"/>
    <col min="3" max="3" width="9" style="18" bestFit="1" customWidth="1"/>
    <col min="4" max="4" width="9.5546875" style="18" bestFit="1" customWidth="1"/>
    <col min="5" max="5" width="11" style="3" customWidth="1"/>
    <col min="6" max="6" width="9.109375" style="19" customWidth="1"/>
    <col min="7" max="7" width="9.5546875" style="20" bestFit="1" customWidth="1"/>
    <col min="8" max="8" width="7.109375" style="19" customWidth="1"/>
    <col min="9" max="9" width="10.109375" style="19" customWidth="1"/>
    <col min="10" max="10" width="10.6640625" style="19" customWidth="1"/>
    <col min="11" max="15" width="9" style="19" bestFit="1" customWidth="1"/>
    <col min="16" max="16" width="9.5546875" style="19" customWidth="1"/>
    <col min="17" max="17" width="13" style="19" customWidth="1"/>
    <col min="18" max="18" width="9.5546875" style="19" bestFit="1" customWidth="1"/>
    <col min="19" max="19" width="11.6640625" style="19" customWidth="1"/>
    <col min="20" max="20" width="12" style="19" customWidth="1"/>
    <col min="21" max="16384" width="8.88671875" style="3"/>
  </cols>
  <sheetData>
    <row r="1" spans="1:20" ht="15" customHeight="1" x14ac:dyDescent="0.25">
      <c r="A1" s="125" t="s">
        <v>57</v>
      </c>
      <c r="B1" s="125"/>
      <c r="C1" s="125"/>
      <c r="D1" s="125"/>
      <c r="E1" s="125"/>
      <c r="F1" s="125"/>
      <c r="G1" s="125"/>
      <c r="I1" s="124" t="s">
        <v>14</v>
      </c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8" customFormat="1" ht="60" x14ac:dyDescent="0.25">
      <c r="A2" s="4" t="s">
        <v>0</v>
      </c>
      <c r="B2" s="4" t="s">
        <v>55</v>
      </c>
      <c r="C2" s="5" t="s">
        <v>56</v>
      </c>
      <c r="D2" s="5" t="s">
        <v>15</v>
      </c>
      <c r="E2" s="4" t="s">
        <v>53</v>
      </c>
      <c r="F2" s="6" t="s">
        <v>16</v>
      </c>
      <c r="G2" s="7" t="s">
        <v>54</v>
      </c>
      <c r="H2" s="37"/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97" si="4">D68/B68</f>
        <v>28.666666666666668</v>
      </c>
      <c r="D68" s="10">
        <f t="shared" si="3"/>
        <v>344</v>
      </c>
      <c r="E68" s="14">
        <v>1341.04</v>
      </c>
      <c r="F68" s="14">
        <f t="shared" ref="F68:F97" si="5">E68/C68</f>
        <v>46.780465116279068</v>
      </c>
      <c r="G68" s="38">
        <f t="shared" ref="G68:G97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97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36.333333333333336</v>
      </c>
      <c r="D76" s="10">
        <f t="shared" si="7"/>
        <v>436</v>
      </c>
      <c r="E76" s="14">
        <v>1341.04</v>
      </c>
      <c r="F76" s="14">
        <f t="shared" si="5"/>
        <v>36.909357798165132</v>
      </c>
      <c r="G76" s="38">
        <f t="shared" si="6"/>
        <v>2.709340014714948E-2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14">
        <v>0</v>
      </c>
      <c r="T76" s="14">
        <v>0</v>
      </c>
    </row>
    <row r="77" spans="1:20" s="13" customFormat="1" ht="15.75" customHeight="1" x14ac:dyDescent="0.25">
      <c r="A77" s="9">
        <v>1990</v>
      </c>
      <c r="B77" s="9">
        <v>12</v>
      </c>
      <c r="C77" s="10">
        <f t="shared" si="4"/>
        <v>8.3333333333333339</v>
      </c>
      <c r="D77" s="10">
        <f t="shared" si="7"/>
        <v>100</v>
      </c>
      <c r="E77" s="14">
        <v>562.26</v>
      </c>
      <c r="F77" s="14">
        <f t="shared" si="5"/>
        <v>67.471199999999996</v>
      </c>
      <c r="G77" s="38">
        <f t="shared" si="6"/>
        <v>1.4821138500575062E-2</v>
      </c>
      <c r="H77" s="39"/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50</v>
      </c>
      <c r="T77" s="14">
        <v>50</v>
      </c>
    </row>
    <row r="78" spans="1:20" s="13" customFormat="1" ht="15.75" customHeight="1" x14ac:dyDescent="0.25">
      <c r="A78" s="9">
        <v>1991</v>
      </c>
      <c r="B78" s="9">
        <v>12</v>
      </c>
      <c r="C78" s="10">
        <f t="shared" si="4"/>
        <v>8.3333333333333339</v>
      </c>
      <c r="D78" s="10">
        <f t="shared" si="7"/>
        <v>100</v>
      </c>
      <c r="E78" s="14">
        <v>562.26</v>
      </c>
      <c r="F78" s="14">
        <f t="shared" si="5"/>
        <v>67.471199999999996</v>
      </c>
      <c r="G78" s="38">
        <f t="shared" si="6"/>
        <v>1.4821138500575062E-2</v>
      </c>
      <c r="H78" s="39"/>
      <c r="I78" s="14">
        <v>50</v>
      </c>
      <c r="J78" s="14">
        <v>50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</row>
    <row r="79" spans="1:20" s="13" customFormat="1" ht="15.75" customHeight="1" x14ac:dyDescent="0.25">
      <c r="A79" s="9">
        <v>1992</v>
      </c>
      <c r="B79" s="9">
        <v>12</v>
      </c>
      <c r="C79" s="10">
        <f t="shared" si="4"/>
        <v>36.333333333333336</v>
      </c>
      <c r="D79" s="10">
        <f t="shared" si="7"/>
        <v>436</v>
      </c>
      <c r="E79" s="14">
        <v>562.26</v>
      </c>
      <c r="F79" s="14">
        <f t="shared" si="5"/>
        <v>15.475045871559631</v>
      </c>
      <c r="G79" s="38">
        <f t="shared" si="6"/>
        <v>6.4620163862507268E-2</v>
      </c>
      <c r="H79" s="39"/>
      <c r="I79" s="14">
        <v>0</v>
      </c>
      <c r="J79" s="14">
        <v>0</v>
      </c>
      <c r="K79" s="14">
        <v>54.5</v>
      </c>
      <c r="L79" s="14">
        <v>54.5</v>
      </c>
      <c r="M79" s="14">
        <v>54.5</v>
      </c>
      <c r="N79" s="14">
        <v>54.5</v>
      </c>
      <c r="O79" s="14">
        <v>54.5</v>
      </c>
      <c r="P79" s="14">
        <v>54.5</v>
      </c>
      <c r="Q79" s="14">
        <v>54.5</v>
      </c>
      <c r="R79" s="14">
        <v>54.5</v>
      </c>
      <c r="S79" s="14">
        <v>0</v>
      </c>
      <c r="T79" s="14">
        <v>0</v>
      </c>
    </row>
    <row r="80" spans="1:20" s="13" customFormat="1" ht="15.75" customHeight="1" x14ac:dyDescent="0.25">
      <c r="A80" s="9">
        <v>1993</v>
      </c>
      <c r="B80" s="9">
        <v>12</v>
      </c>
      <c r="C80" s="10">
        <f t="shared" si="4"/>
        <v>8.3333333333333339</v>
      </c>
      <c r="D80" s="10">
        <f t="shared" si="7"/>
        <v>100</v>
      </c>
      <c r="E80" s="14">
        <v>562.26</v>
      </c>
      <c r="F80" s="14">
        <f t="shared" si="5"/>
        <v>67.471199999999996</v>
      </c>
      <c r="G80" s="38">
        <f t="shared" si="6"/>
        <v>1.4821138500575062E-2</v>
      </c>
      <c r="H80" s="39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50</v>
      </c>
      <c r="T80" s="14">
        <v>50</v>
      </c>
    </row>
    <row r="81" spans="1:20" s="13" customFormat="1" ht="15.75" customHeight="1" x14ac:dyDescent="0.25">
      <c r="A81" s="9">
        <v>1994</v>
      </c>
      <c r="B81" s="9">
        <v>12</v>
      </c>
      <c r="C81" s="10">
        <f t="shared" si="4"/>
        <v>8.3333333333333339</v>
      </c>
      <c r="D81" s="10">
        <f t="shared" si="7"/>
        <v>100</v>
      </c>
      <c r="E81" s="14">
        <v>562.26</v>
      </c>
      <c r="F81" s="14">
        <f t="shared" si="5"/>
        <v>67.471199999999996</v>
      </c>
      <c r="G81" s="38">
        <f t="shared" si="6"/>
        <v>1.4821138500575062E-2</v>
      </c>
      <c r="H81" s="39"/>
      <c r="I81" s="14">
        <v>50</v>
      </c>
      <c r="J81" s="14">
        <v>50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</row>
    <row r="82" spans="1:20" s="13" customFormat="1" ht="15.75" customHeight="1" x14ac:dyDescent="0.25">
      <c r="A82" s="9">
        <v>1995</v>
      </c>
      <c r="B82" s="9">
        <v>12</v>
      </c>
      <c r="C82" s="10">
        <f t="shared" si="4"/>
        <v>36.333333333333336</v>
      </c>
      <c r="D82" s="10">
        <f t="shared" si="7"/>
        <v>436</v>
      </c>
      <c r="E82" s="14">
        <v>562.26</v>
      </c>
      <c r="F82" s="14">
        <f t="shared" si="5"/>
        <v>15.475045871559631</v>
      </c>
      <c r="G82" s="38">
        <f t="shared" si="6"/>
        <v>6.4620163862507268E-2</v>
      </c>
      <c r="H82" s="39"/>
      <c r="I82" s="14">
        <v>0</v>
      </c>
      <c r="J82" s="14">
        <v>0</v>
      </c>
      <c r="K82" s="14">
        <v>54.5</v>
      </c>
      <c r="L82" s="14">
        <v>54.5</v>
      </c>
      <c r="M82" s="14">
        <v>54.5</v>
      </c>
      <c r="N82" s="14">
        <v>54.5</v>
      </c>
      <c r="O82" s="14">
        <v>54.5</v>
      </c>
      <c r="P82" s="14">
        <v>54.5</v>
      </c>
      <c r="Q82" s="14">
        <v>54.5</v>
      </c>
      <c r="R82" s="14">
        <v>54.5</v>
      </c>
      <c r="S82" s="14">
        <v>0</v>
      </c>
      <c r="T82" s="14">
        <v>0</v>
      </c>
    </row>
    <row r="83" spans="1:20" s="13" customFormat="1" ht="15.75" customHeight="1" x14ac:dyDescent="0.25">
      <c r="A83" s="9">
        <v>1996</v>
      </c>
      <c r="B83" s="9">
        <v>12</v>
      </c>
      <c r="C83" s="10">
        <f t="shared" si="4"/>
        <v>9.0833333333333339</v>
      </c>
      <c r="D83" s="10">
        <f t="shared" si="7"/>
        <v>109</v>
      </c>
      <c r="E83" s="14">
        <v>562.26</v>
      </c>
      <c r="F83" s="14">
        <f t="shared" si="5"/>
        <v>61.900183486238525</v>
      </c>
      <c r="G83" s="38">
        <f t="shared" si="6"/>
        <v>1.6155040965626817E-2</v>
      </c>
      <c r="H83" s="39"/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54.5</v>
      </c>
      <c r="T83" s="14">
        <v>54.5</v>
      </c>
    </row>
    <row r="84" spans="1:20" s="13" customFormat="1" ht="15.75" customHeight="1" x14ac:dyDescent="0.25">
      <c r="A84" s="9">
        <v>1997</v>
      </c>
      <c r="B84" s="9">
        <v>12</v>
      </c>
      <c r="C84" s="10">
        <f t="shared" si="4"/>
        <v>9.0833333333333339</v>
      </c>
      <c r="D84" s="10">
        <f t="shared" si="7"/>
        <v>109</v>
      </c>
      <c r="E84" s="14">
        <v>562.26</v>
      </c>
      <c r="F84" s="14">
        <f t="shared" si="5"/>
        <v>61.900183486238525</v>
      </c>
      <c r="G84" s="38">
        <f t="shared" si="6"/>
        <v>1.6155040965626817E-2</v>
      </c>
      <c r="H84" s="39"/>
      <c r="I84" s="14">
        <v>54.5</v>
      </c>
      <c r="J84" s="14">
        <v>54.5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</row>
    <row r="85" spans="1:20" s="13" customFormat="1" ht="15.75" customHeight="1" x14ac:dyDescent="0.25">
      <c r="A85" s="9">
        <v>1998</v>
      </c>
      <c r="B85" s="9">
        <v>12</v>
      </c>
      <c r="C85" s="10">
        <f t="shared" si="4"/>
        <v>36.333333333333336</v>
      </c>
      <c r="D85" s="10">
        <f t="shared" si="7"/>
        <v>436</v>
      </c>
      <c r="E85" s="14">
        <v>562.26</v>
      </c>
      <c r="F85" s="14">
        <f t="shared" si="5"/>
        <v>15.475045871559631</v>
      </c>
      <c r="G85" s="38">
        <f t="shared" si="6"/>
        <v>6.4620163862507268E-2</v>
      </c>
      <c r="H85" s="39"/>
      <c r="I85" s="14">
        <v>0</v>
      </c>
      <c r="J85" s="14">
        <v>0</v>
      </c>
      <c r="K85" s="14">
        <v>54.5</v>
      </c>
      <c r="L85" s="14">
        <v>54.5</v>
      </c>
      <c r="M85" s="14">
        <v>54.5</v>
      </c>
      <c r="N85" s="14">
        <v>54.5</v>
      </c>
      <c r="O85" s="14">
        <v>54.5</v>
      </c>
      <c r="P85" s="14">
        <v>54.5</v>
      </c>
      <c r="Q85" s="14">
        <v>54.5</v>
      </c>
      <c r="R85" s="14">
        <v>54.5</v>
      </c>
      <c r="S85" s="14">
        <v>0</v>
      </c>
      <c r="T85" s="14">
        <v>0</v>
      </c>
    </row>
    <row r="86" spans="1:20" s="13" customFormat="1" ht="15.75" customHeight="1" x14ac:dyDescent="0.25">
      <c r="A86" s="9">
        <v>1999</v>
      </c>
      <c r="B86" s="9">
        <v>12</v>
      </c>
      <c r="C86" s="10">
        <f t="shared" si="4"/>
        <v>9.1666666666666661</v>
      </c>
      <c r="D86" s="10">
        <f t="shared" si="7"/>
        <v>110</v>
      </c>
      <c r="E86" s="14">
        <v>562.26</v>
      </c>
      <c r="F86" s="14">
        <f t="shared" si="5"/>
        <v>61.337454545454548</v>
      </c>
      <c r="G86" s="38">
        <f t="shared" si="6"/>
        <v>1.6303252350632565E-2</v>
      </c>
      <c r="H86" s="39"/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55</v>
      </c>
      <c r="T86" s="14">
        <v>55</v>
      </c>
    </row>
    <row r="87" spans="1:20" s="13" customFormat="1" ht="15.75" customHeight="1" x14ac:dyDescent="0.25">
      <c r="A87" s="9">
        <v>2000</v>
      </c>
      <c r="B87" s="9">
        <v>12</v>
      </c>
      <c r="C87" s="10">
        <f t="shared" si="4"/>
        <v>9.1666666666666661</v>
      </c>
      <c r="D87" s="10">
        <f t="shared" si="7"/>
        <v>110</v>
      </c>
      <c r="E87" s="14">
        <v>562.26</v>
      </c>
      <c r="F87" s="14">
        <f t="shared" si="5"/>
        <v>61.337454545454548</v>
      </c>
      <c r="G87" s="38">
        <f t="shared" si="6"/>
        <v>1.6303252350632565E-2</v>
      </c>
      <c r="H87" s="39"/>
      <c r="I87" s="14">
        <v>55</v>
      </c>
      <c r="J87" s="14">
        <v>55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</row>
    <row r="88" spans="1:20" s="13" customFormat="1" ht="15.75" customHeight="1" x14ac:dyDescent="0.25">
      <c r="A88" s="9">
        <v>2001</v>
      </c>
      <c r="B88" s="9">
        <v>12</v>
      </c>
      <c r="C88" s="10">
        <f t="shared" si="4"/>
        <v>39.666666666666664</v>
      </c>
      <c r="D88" s="10">
        <f t="shared" si="7"/>
        <v>476</v>
      </c>
      <c r="E88" s="14">
        <v>562.26</v>
      </c>
      <c r="F88" s="14">
        <f t="shared" si="5"/>
        <v>14.174621848739497</v>
      </c>
      <c r="G88" s="38">
        <f t="shared" si="6"/>
        <v>7.0548619262737283E-2</v>
      </c>
      <c r="H88" s="39"/>
      <c r="I88" s="14">
        <v>0</v>
      </c>
      <c r="J88" s="14">
        <v>0</v>
      </c>
      <c r="K88" s="14">
        <v>59.5</v>
      </c>
      <c r="L88" s="14">
        <v>59.5</v>
      </c>
      <c r="M88" s="14">
        <v>59.5</v>
      </c>
      <c r="N88" s="14">
        <v>59.5</v>
      </c>
      <c r="O88" s="14">
        <v>59.5</v>
      </c>
      <c r="P88" s="14">
        <v>59.5</v>
      </c>
      <c r="Q88" s="14">
        <v>59.5</v>
      </c>
      <c r="R88" s="14">
        <v>59.5</v>
      </c>
      <c r="S88" s="14">
        <v>0</v>
      </c>
      <c r="T88" s="14">
        <v>0</v>
      </c>
    </row>
    <row r="89" spans="1:20" s="13" customFormat="1" ht="15.75" customHeight="1" x14ac:dyDescent="0.25">
      <c r="A89" s="9">
        <v>2002</v>
      </c>
      <c r="B89" s="9">
        <v>12</v>
      </c>
      <c r="C89" s="10">
        <f t="shared" si="4"/>
        <v>9.1666666666666661</v>
      </c>
      <c r="D89" s="10">
        <f t="shared" si="7"/>
        <v>110</v>
      </c>
      <c r="E89" s="14">
        <v>562.26</v>
      </c>
      <c r="F89" s="14">
        <f t="shared" si="5"/>
        <v>61.337454545454548</v>
      </c>
      <c r="G89" s="38">
        <f t="shared" si="6"/>
        <v>1.6303252350632565E-2</v>
      </c>
      <c r="H89" s="39"/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55</v>
      </c>
      <c r="T89" s="14">
        <v>55</v>
      </c>
    </row>
    <row r="90" spans="1:20" s="13" customFormat="1" ht="15.75" customHeight="1" x14ac:dyDescent="0.25">
      <c r="A90" s="9">
        <v>2003</v>
      </c>
      <c r="B90" s="9">
        <v>12</v>
      </c>
      <c r="C90" s="10">
        <f t="shared" si="4"/>
        <v>9.1666666666666661</v>
      </c>
      <c r="D90" s="10">
        <f t="shared" si="7"/>
        <v>110</v>
      </c>
      <c r="E90" s="14">
        <v>562.26</v>
      </c>
      <c r="F90" s="14">
        <f t="shared" si="5"/>
        <v>61.337454545454548</v>
      </c>
      <c r="G90" s="38">
        <f t="shared" si="6"/>
        <v>1.6303252350632565E-2</v>
      </c>
      <c r="H90" s="39"/>
      <c r="I90" s="14">
        <v>55</v>
      </c>
      <c r="J90" s="14">
        <v>55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</row>
    <row r="91" spans="1:20" s="13" customFormat="1" ht="15.75" customHeight="1" x14ac:dyDescent="0.25">
      <c r="A91" s="9">
        <v>2004</v>
      </c>
      <c r="B91" s="9">
        <v>12</v>
      </c>
      <c r="C91" s="10">
        <f t="shared" si="4"/>
        <v>53.833333333333336</v>
      </c>
      <c r="D91" s="10">
        <f t="shared" si="7"/>
        <v>646</v>
      </c>
      <c r="E91" s="14">
        <v>562.26</v>
      </c>
      <c r="F91" s="14">
        <f t="shared" si="5"/>
        <v>10.444458204334365</v>
      </c>
      <c r="G91" s="38">
        <f t="shared" si="6"/>
        <v>9.5744554713714888E-2</v>
      </c>
      <c r="H91" s="39"/>
      <c r="I91" s="14">
        <v>0</v>
      </c>
      <c r="J91" s="14">
        <v>0</v>
      </c>
      <c r="K91" s="14">
        <v>59.5</v>
      </c>
      <c r="L91" s="14">
        <v>59.5</v>
      </c>
      <c r="M91" s="14">
        <v>59.5</v>
      </c>
      <c r="N91" s="14">
        <v>59.5</v>
      </c>
      <c r="O91" s="14">
        <v>59.5</v>
      </c>
      <c r="P91" s="14">
        <v>59.5</v>
      </c>
      <c r="Q91" s="14">
        <v>59.5</v>
      </c>
      <c r="R91" s="14">
        <v>59.5</v>
      </c>
      <c r="S91" s="14">
        <v>85</v>
      </c>
      <c r="T91" s="14">
        <v>85</v>
      </c>
    </row>
    <row r="92" spans="1:20" s="13" customFormat="1" ht="15.75" customHeight="1" x14ac:dyDescent="0.25">
      <c r="A92" s="9">
        <v>2005</v>
      </c>
      <c r="B92" s="9">
        <v>12</v>
      </c>
      <c r="C92" s="10">
        <f t="shared" si="4"/>
        <v>14.166666666666666</v>
      </c>
      <c r="D92" s="10">
        <f t="shared" si="7"/>
        <v>170</v>
      </c>
      <c r="E92" s="14">
        <v>562.26</v>
      </c>
      <c r="F92" s="14">
        <f t="shared" si="5"/>
        <v>39.688941176470593</v>
      </c>
      <c r="G92" s="38">
        <f t="shared" si="6"/>
        <v>2.5195935450977602E-2</v>
      </c>
      <c r="H92" s="39"/>
      <c r="I92" s="14">
        <v>85</v>
      </c>
      <c r="J92" s="14">
        <v>85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</row>
    <row r="93" spans="1:20" s="13" customFormat="1" ht="15.75" customHeight="1" x14ac:dyDescent="0.25">
      <c r="A93" s="9">
        <v>2006</v>
      </c>
      <c r="B93" s="9">
        <v>12</v>
      </c>
      <c r="C93" s="10">
        <f t="shared" si="4"/>
        <v>0.3666666666666667</v>
      </c>
      <c r="D93" s="10">
        <f t="shared" si="7"/>
        <v>4.4000000000000004</v>
      </c>
      <c r="E93" s="14">
        <v>562.26</v>
      </c>
      <c r="F93" s="14">
        <f t="shared" si="5"/>
        <v>1533.4363636363635</v>
      </c>
      <c r="G93" s="38">
        <f t="shared" si="6"/>
        <v>6.5213009402530274E-4</v>
      </c>
      <c r="H93" s="39"/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4.4000000000000004</v>
      </c>
      <c r="T93" s="14">
        <v>0</v>
      </c>
    </row>
    <row r="94" spans="1:20" s="13" customFormat="1" ht="15.75" customHeight="1" x14ac:dyDescent="0.25">
      <c r="A94" s="9">
        <v>2007</v>
      </c>
      <c r="B94" s="9">
        <v>12</v>
      </c>
      <c r="C94" s="10">
        <f t="shared" si="4"/>
        <v>21.658333333333335</v>
      </c>
      <c r="D94" s="10">
        <f t="shared" si="7"/>
        <v>259.90000000000003</v>
      </c>
      <c r="E94" s="14">
        <v>562.26</v>
      </c>
      <c r="F94" s="14">
        <f t="shared" si="5"/>
        <v>25.96044632550981</v>
      </c>
      <c r="G94" s="38">
        <f t="shared" si="6"/>
        <v>3.8520138962994582E-2</v>
      </c>
      <c r="H94" s="39"/>
      <c r="I94" s="14">
        <v>0</v>
      </c>
      <c r="J94" s="14">
        <v>0</v>
      </c>
      <c r="K94" s="14">
        <v>0</v>
      </c>
      <c r="L94" s="14">
        <v>104.4</v>
      </c>
      <c r="M94" s="14">
        <v>155.4</v>
      </c>
      <c r="N94" s="14">
        <v>0.1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</row>
    <row r="95" spans="1:20" s="13" customFormat="1" ht="15.75" customHeight="1" x14ac:dyDescent="0.25">
      <c r="A95" s="9">
        <v>2008</v>
      </c>
      <c r="B95" s="9">
        <v>12</v>
      </c>
      <c r="C95" s="10">
        <f t="shared" si="4"/>
        <v>24.891666666666669</v>
      </c>
      <c r="D95" s="10">
        <f t="shared" si="7"/>
        <v>298.70000000000005</v>
      </c>
      <c r="E95" s="14">
        <v>562.26</v>
      </c>
      <c r="F95" s="14">
        <f t="shared" si="5"/>
        <v>22.588282557750247</v>
      </c>
      <c r="G95" s="38">
        <f t="shared" si="6"/>
        <v>4.4270740701217712E-2</v>
      </c>
      <c r="H95" s="39"/>
      <c r="I95" s="14">
        <v>0</v>
      </c>
      <c r="J95" s="14">
        <v>132.4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166.3</v>
      </c>
      <c r="S95" s="14">
        <v>0</v>
      </c>
      <c r="T95" s="14">
        <v>0</v>
      </c>
    </row>
    <row r="96" spans="1:20" s="13" customFormat="1" ht="15.75" customHeight="1" x14ac:dyDescent="0.25">
      <c r="A96" s="9">
        <v>2009</v>
      </c>
      <c r="B96" s="9">
        <v>12</v>
      </c>
      <c r="C96" s="10">
        <f t="shared" si="4"/>
        <v>12.841666666666667</v>
      </c>
      <c r="D96" s="10">
        <f t="shared" si="7"/>
        <v>154.1</v>
      </c>
      <c r="E96" s="14">
        <v>562.26</v>
      </c>
      <c r="F96" s="14">
        <f t="shared" si="5"/>
        <v>43.784036340038938</v>
      </c>
      <c r="G96" s="38">
        <f t="shared" si="6"/>
        <v>2.2839374429386168E-2</v>
      </c>
      <c r="H96" s="39"/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129.9</v>
      </c>
      <c r="S96" s="14">
        <v>24.2</v>
      </c>
      <c r="T96" s="14">
        <v>0</v>
      </c>
    </row>
    <row r="97" spans="1:20" s="13" customFormat="1" ht="15.75" customHeight="1" x14ac:dyDescent="0.25">
      <c r="A97" s="9">
        <v>2010</v>
      </c>
      <c r="B97" s="9">
        <v>12</v>
      </c>
      <c r="C97" s="10">
        <f t="shared" si="4"/>
        <v>0</v>
      </c>
      <c r="D97" s="10">
        <f t="shared" si="7"/>
        <v>0</v>
      </c>
      <c r="E97" s="14">
        <v>562.26</v>
      </c>
      <c r="F97" s="14" t="e">
        <f t="shared" si="5"/>
        <v>#DIV/0!</v>
      </c>
      <c r="G97" s="38">
        <f t="shared" si="6"/>
        <v>0</v>
      </c>
      <c r="H97" s="39"/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</row>
    <row r="98" spans="1:20" s="13" customFormat="1" ht="15.75" customHeight="1" x14ac:dyDescent="0.25">
      <c r="A98" s="9">
        <v>2011</v>
      </c>
      <c r="B98" s="9">
        <v>12</v>
      </c>
      <c r="C98" s="10">
        <f t="shared" ref="C98:C106" si="8">D98/B98</f>
        <v>51.800000000000004</v>
      </c>
      <c r="D98" s="10">
        <f t="shared" ref="D98:D106" si="9">SUM(I98:T98)</f>
        <v>621.6</v>
      </c>
      <c r="E98" s="14">
        <v>562.26</v>
      </c>
      <c r="F98" s="14">
        <f t="shared" ref="F98:F106" si="10">E98/C98</f>
        <v>10.854440154440153</v>
      </c>
      <c r="G98" s="38">
        <f t="shared" ref="G98:G106" si="11">C98/E98</f>
        <v>9.2128196919574579E-2</v>
      </c>
      <c r="H98" s="39"/>
      <c r="I98" s="14">
        <v>306.60000000000002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79.8</v>
      </c>
      <c r="S98" s="14">
        <v>235.2</v>
      </c>
      <c r="T98" s="14">
        <v>0</v>
      </c>
    </row>
    <row r="99" spans="1:20" s="13" customFormat="1" ht="15.75" customHeight="1" x14ac:dyDescent="0.25">
      <c r="A99" s="9">
        <v>2012</v>
      </c>
      <c r="B99" s="9">
        <v>12</v>
      </c>
      <c r="C99" s="10">
        <f t="shared" si="8"/>
        <v>22.516666666666666</v>
      </c>
      <c r="D99" s="10">
        <f t="shared" si="9"/>
        <v>270.2</v>
      </c>
      <c r="E99" s="14">
        <v>562.26</v>
      </c>
      <c r="F99" s="14">
        <f t="shared" si="10"/>
        <v>24.970836417468544</v>
      </c>
      <c r="G99" s="38">
        <f t="shared" si="11"/>
        <v>4.0046716228553811E-2</v>
      </c>
      <c r="H99" s="39"/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270.2</v>
      </c>
    </row>
    <row r="100" spans="1:20" s="13" customFormat="1" ht="15.75" customHeight="1" x14ac:dyDescent="0.25">
      <c r="A100" s="9">
        <v>2013</v>
      </c>
      <c r="B100" s="9">
        <v>12</v>
      </c>
      <c r="C100" s="10">
        <f t="shared" si="8"/>
        <v>28.7</v>
      </c>
      <c r="D100" s="10">
        <f t="shared" si="9"/>
        <v>344.4</v>
      </c>
      <c r="E100" s="14">
        <v>562.26</v>
      </c>
      <c r="F100" s="14">
        <f t="shared" si="10"/>
        <v>19.590940766550524</v>
      </c>
      <c r="G100" s="38">
        <f t="shared" si="11"/>
        <v>5.1044000995980505E-2</v>
      </c>
      <c r="H100" s="39"/>
      <c r="I100" s="14">
        <v>107.7</v>
      </c>
      <c r="J100" s="14">
        <v>3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30</v>
      </c>
      <c r="T100" s="14">
        <v>203.7</v>
      </c>
    </row>
    <row r="101" spans="1:20" s="13" customFormat="1" ht="15.75" customHeight="1" x14ac:dyDescent="0.25">
      <c r="A101" s="9">
        <v>2014</v>
      </c>
      <c r="B101" s="9">
        <v>12</v>
      </c>
      <c r="C101" s="10">
        <f t="shared" si="8"/>
        <v>10.566666666666668</v>
      </c>
      <c r="D101" s="10">
        <f t="shared" si="9"/>
        <v>126.80000000000001</v>
      </c>
      <c r="E101" s="14">
        <v>562.26</v>
      </c>
      <c r="F101" s="14">
        <f t="shared" si="10"/>
        <v>53.210725552050462</v>
      </c>
      <c r="G101" s="38">
        <f t="shared" si="11"/>
        <v>1.879320361872918E-2</v>
      </c>
      <c r="H101" s="39"/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125.4</v>
      </c>
      <c r="T101" s="14">
        <v>1.4</v>
      </c>
    </row>
    <row r="102" spans="1:20" s="13" customFormat="1" ht="15.75" customHeight="1" x14ac:dyDescent="0.25">
      <c r="A102" s="9">
        <v>2015</v>
      </c>
      <c r="B102" s="9">
        <v>12</v>
      </c>
      <c r="C102" s="10">
        <f t="shared" si="8"/>
        <v>0</v>
      </c>
      <c r="D102" s="10">
        <f t="shared" si="9"/>
        <v>0</v>
      </c>
      <c r="E102" s="14">
        <v>562.26</v>
      </c>
      <c r="F102" s="14" t="e">
        <f t="shared" si="10"/>
        <v>#DIV/0!</v>
      </c>
      <c r="G102" s="38">
        <f t="shared" si="11"/>
        <v>0</v>
      </c>
      <c r="H102" s="39"/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</row>
    <row r="103" spans="1:20" s="13" customFormat="1" ht="15.75" customHeight="1" x14ac:dyDescent="0.25">
      <c r="A103" s="9">
        <v>2016</v>
      </c>
      <c r="B103" s="9">
        <v>12</v>
      </c>
      <c r="C103" s="10">
        <f t="shared" si="8"/>
        <v>11.598916666666668</v>
      </c>
      <c r="D103" s="10">
        <f t="shared" si="9"/>
        <v>139.18700000000001</v>
      </c>
      <c r="E103" s="14">
        <v>562.26</v>
      </c>
      <c r="F103" s="14">
        <f t="shared" si="10"/>
        <v>48.475216794671908</v>
      </c>
      <c r="G103" s="38">
        <f t="shared" si="11"/>
        <v>2.0629098044795412E-2</v>
      </c>
      <c r="H103" s="39"/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12.387</v>
      </c>
      <c r="S103" s="14">
        <v>126.8</v>
      </c>
      <c r="T103" s="14">
        <v>0</v>
      </c>
    </row>
    <row r="104" spans="1:20" s="13" customFormat="1" ht="15.75" customHeight="1" x14ac:dyDescent="0.25">
      <c r="A104" s="9">
        <v>2017</v>
      </c>
      <c r="B104" s="9">
        <v>12</v>
      </c>
      <c r="C104" s="10">
        <f t="shared" si="8"/>
        <v>11.521416666666665</v>
      </c>
      <c r="D104" s="10">
        <f t="shared" si="9"/>
        <v>138.25699999999998</v>
      </c>
      <c r="E104" s="14">
        <v>562.26</v>
      </c>
      <c r="F104" s="14">
        <f t="shared" si="10"/>
        <v>48.801290350579002</v>
      </c>
      <c r="G104" s="38">
        <f t="shared" si="11"/>
        <v>2.0491261456740059E-2</v>
      </c>
      <c r="H104" s="39"/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0.96699999999999997</v>
      </c>
      <c r="P104" s="14">
        <v>0.161</v>
      </c>
      <c r="Q104" s="14">
        <v>0</v>
      </c>
      <c r="R104" s="14">
        <v>0</v>
      </c>
      <c r="S104" s="14">
        <v>0</v>
      </c>
      <c r="T104" s="14">
        <v>137.12899999999999</v>
      </c>
    </row>
    <row r="105" spans="1:20" s="13" customFormat="1" ht="15.75" customHeight="1" x14ac:dyDescent="0.25">
      <c r="A105" s="9">
        <v>2018</v>
      </c>
      <c r="B105" s="9">
        <v>12</v>
      </c>
      <c r="C105" s="10">
        <f t="shared" si="8"/>
        <v>13.1</v>
      </c>
      <c r="D105" s="10">
        <f t="shared" si="9"/>
        <v>157.19999999999999</v>
      </c>
      <c r="E105" s="14">
        <v>562.26</v>
      </c>
      <c r="F105" s="14">
        <f t="shared" si="10"/>
        <v>42.920610687022901</v>
      </c>
      <c r="G105" s="38">
        <f t="shared" si="11"/>
        <v>2.3298829722903994E-2</v>
      </c>
      <c r="H105" s="39"/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157.19999999999999</v>
      </c>
    </row>
    <row r="106" spans="1:20" s="13" customFormat="1" ht="15.75" customHeight="1" x14ac:dyDescent="0.25">
      <c r="A106" s="9">
        <v>2019</v>
      </c>
      <c r="B106" s="9">
        <v>12</v>
      </c>
      <c r="C106" s="10">
        <f t="shared" si="8"/>
        <v>9.4833333333333325</v>
      </c>
      <c r="D106" s="10">
        <f t="shared" si="9"/>
        <v>113.8</v>
      </c>
      <c r="E106" s="14">
        <v>562.26</v>
      </c>
      <c r="F106" s="14">
        <f t="shared" si="10"/>
        <v>59.289279437609849</v>
      </c>
      <c r="G106" s="38">
        <f t="shared" si="11"/>
        <v>1.6866455613654418E-2</v>
      </c>
      <c r="H106" s="39"/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32.700000000000003</v>
      </c>
      <c r="T106" s="14">
        <v>81.099999999999994</v>
      </c>
    </row>
    <row r="107" spans="1:20" s="13" customFormat="1" ht="15.75" customHeight="1" x14ac:dyDescent="0.25">
      <c r="A107" s="9">
        <v>2020</v>
      </c>
      <c r="B107" s="9">
        <v>12</v>
      </c>
      <c r="C107" s="10">
        <f t="shared" ref="C107:C112" si="12">D107/B107</f>
        <v>11.450000000000001</v>
      </c>
      <c r="D107" s="10">
        <f t="shared" ref="D107:D112" si="13">SUM(I107:T107)</f>
        <v>137.4</v>
      </c>
      <c r="E107" s="14">
        <v>562.26</v>
      </c>
      <c r="F107" s="14">
        <f t="shared" ref="F107:F112" si="14">E107/C107</f>
        <v>49.10567685589519</v>
      </c>
      <c r="G107" s="38">
        <f t="shared" ref="G107:G112" si="15">C107/E107</f>
        <v>2.0364244299790134E-2</v>
      </c>
      <c r="H107" s="39"/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137.4</v>
      </c>
    </row>
    <row r="108" spans="1:20" ht="15.75" customHeight="1" x14ac:dyDescent="0.25">
      <c r="A108" s="9">
        <v>2021</v>
      </c>
      <c r="B108" s="9">
        <v>12</v>
      </c>
      <c r="C108" s="10">
        <f t="shared" si="12"/>
        <v>17.658333333333331</v>
      </c>
      <c r="D108" s="10">
        <f t="shared" si="13"/>
        <v>211.89999999999998</v>
      </c>
      <c r="E108" s="14">
        <v>562.26</v>
      </c>
      <c r="F108" s="14">
        <f t="shared" si="14"/>
        <v>31.841057102406797</v>
      </c>
      <c r="G108" s="38">
        <f t="shared" si="15"/>
        <v>3.1405992482718546E-2</v>
      </c>
      <c r="I108" s="17">
        <v>103.1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65.5</v>
      </c>
      <c r="Q108" s="17">
        <v>43.3</v>
      </c>
      <c r="R108" s="17">
        <v>0</v>
      </c>
      <c r="S108" s="17">
        <v>0</v>
      </c>
      <c r="T108" s="17">
        <v>0</v>
      </c>
    </row>
    <row r="109" spans="1:20" ht="15.75" customHeight="1" x14ac:dyDescent="0.25">
      <c r="A109" s="9">
        <v>2022</v>
      </c>
      <c r="B109" s="9">
        <v>12</v>
      </c>
      <c r="C109" s="10">
        <f t="shared" si="12"/>
        <v>24.391666666666666</v>
      </c>
      <c r="D109" s="10">
        <f t="shared" si="13"/>
        <v>292.7</v>
      </c>
      <c r="E109" s="14">
        <v>562.26</v>
      </c>
      <c r="F109" s="14">
        <f t="shared" si="14"/>
        <v>23.051315339938505</v>
      </c>
      <c r="G109" s="38">
        <f t="shared" si="15"/>
        <v>4.3381472391183201E-2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229.8</v>
      </c>
      <c r="P109" s="17">
        <v>0</v>
      </c>
      <c r="Q109" s="17">
        <v>0</v>
      </c>
      <c r="R109" s="17">
        <v>0</v>
      </c>
      <c r="S109" s="17">
        <v>0</v>
      </c>
      <c r="T109" s="17">
        <v>62.9</v>
      </c>
    </row>
    <row r="110" spans="1:20" ht="15.75" customHeight="1" x14ac:dyDescent="0.25">
      <c r="A110" s="9">
        <v>2023</v>
      </c>
      <c r="B110" s="9">
        <v>12</v>
      </c>
      <c r="C110" s="10">
        <f t="shared" si="12"/>
        <v>12.299999999999999</v>
      </c>
      <c r="D110" s="10">
        <f t="shared" si="13"/>
        <v>147.6</v>
      </c>
      <c r="E110" s="14">
        <v>562.26</v>
      </c>
      <c r="F110" s="14">
        <f t="shared" si="14"/>
        <v>45.712195121951225</v>
      </c>
      <c r="G110" s="38">
        <f t="shared" si="15"/>
        <v>2.1876000426848789E-2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54.3</v>
      </c>
      <c r="S110" s="17">
        <v>93.3</v>
      </c>
      <c r="T110" s="17">
        <v>0</v>
      </c>
    </row>
    <row r="111" spans="1:20" ht="15.75" customHeight="1" x14ac:dyDescent="0.25">
      <c r="A111" s="9">
        <v>2024</v>
      </c>
      <c r="B111" s="9">
        <v>12</v>
      </c>
      <c r="C111" s="10">
        <f t="shared" si="12"/>
        <v>7.1875</v>
      </c>
      <c r="D111" s="10">
        <f t="shared" si="13"/>
        <v>86.25</v>
      </c>
      <c r="E111" s="14">
        <v>562.26</v>
      </c>
      <c r="F111" s="14">
        <f t="shared" si="14"/>
        <v>78.22747826086956</v>
      </c>
      <c r="G111" s="38">
        <f t="shared" si="15"/>
        <v>1.2783231956745989E-2</v>
      </c>
      <c r="I111" s="17">
        <v>0</v>
      </c>
      <c r="J111" s="17">
        <v>0</v>
      </c>
      <c r="K111" s="17">
        <v>0</v>
      </c>
      <c r="L111" s="17">
        <v>86.25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</row>
    <row r="112" spans="1:20" ht="15.75" customHeight="1" x14ac:dyDescent="0.25">
      <c r="A112" s="9">
        <v>2025</v>
      </c>
      <c r="B112" s="9">
        <v>12</v>
      </c>
      <c r="C112" s="10">
        <f t="shared" si="12"/>
        <v>26.391666666666666</v>
      </c>
      <c r="D112" s="10">
        <f t="shared" si="13"/>
        <v>316.7</v>
      </c>
      <c r="E112" s="14">
        <v>562.26</v>
      </c>
      <c r="F112" s="14">
        <f t="shared" si="14"/>
        <v>21.304452162930218</v>
      </c>
      <c r="G112" s="38">
        <f t="shared" si="15"/>
        <v>4.6938545631321216E-2</v>
      </c>
      <c r="I112" s="17">
        <v>0</v>
      </c>
      <c r="J112" s="17">
        <v>219.4</v>
      </c>
      <c r="K112" s="17">
        <v>97.3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</row>
  </sheetData>
  <mergeCells count="2">
    <mergeCell ref="I1:T1"/>
    <mergeCell ref="A1:G1"/>
  </mergeCells>
  <pageMargins left="0.75" right="0.75" top="1" bottom="1" header="0.5" footer="0.5"/>
  <pageSetup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441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3.109375" style="56" customWidth="1"/>
    <col min="18" max="18" width="9.33203125" style="56" bestFit="1" customWidth="1"/>
    <col min="19" max="19" width="11.88671875" style="56" customWidth="1"/>
    <col min="20" max="20" width="11.5546875" style="56" customWidth="1"/>
    <col min="21" max="16384" width="9.109375" style="40"/>
  </cols>
  <sheetData>
    <row r="1" spans="1:20" ht="15" x14ac:dyDescent="0.25">
      <c r="A1" s="120" t="s">
        <v>79</v>
      </c>
      <c r="B1" s="120"/>
      <c r="C1" s="120"/>
      <c r="D1" s="120"/>
      <c r="E1" s="120"/>
      <c r="F1" s="120"/>
      <c r="G1" s="120"/>
      <c r="I1" s="128" t="s">
        <v>14</v>
      </c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2.6750000000000003</v>
      </c>
      <c r="D93" s="51">
        <f>SUM(I93:T93)</f>
        <v>32.1</v>
      </c>
      <c r="E93" s="49">
        <v>222.17</v>
      </c>
      <c r="F93" s="49">
        <f>E93/C93</f>
        <v>83.054205607476618</v>
      </c>
      <c r="G93" s="52">
        <f>C93/E93</f>
        <v>1.2040329477427197E-2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16.600000000000001</v>
      </c>
      <c r="T93" s="49">
        <v>15.5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1.9083333333333332</v>
      </c>
      <c r="D94" s="51">
        <f t="shared" ref="D94:D97" si="13">SUM(I94:T94)</f>
        <v>22.9</v>
      </c>
      <c r="E94" s="49">
        <v>222.17</v>
      </c>
      <c r="F94" s="49">
        <f t="shared" ref="F94:F97" si="14">E94/C94</f>
        <v>116.42096069868995</v>
      </c>
      <c r="G94" s="52">
        <f t="shared" ref="G94:G97" si="15">C94/E94</f>
        <v>8.5895185368561611E-3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22.9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5.5750000000000002</v>
      </c>
      <c r="D95" s="51">
        <f t="shared" si="13"/>
        <v>66.900000000000006</v>
      </c>
      <c r="E95" s="49">
        <v>222.17</v>
      </c>
      <c r="F95" s="49">
        <f t="shared" si="14"/>
        <v>39.851121076233177</v>
      </c>
      <c r="G95" s="52">
        <f t="shared" si="15"/>
        <v>2.5093396948282849E-2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25.2</v>
      </c>
      <c r="Q95" s="49">
        <v>0</v>
      </c>
      <c r="R95" s="49">
        <v>0</v>
      </c>
      <c r="S95" s="49">
        <v>0</v>
      </c>
      <c r="T95" s="49">
        <v>41.7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3.0333333333333332</v>
      </c>
      <c r="D96" s="51">
        <f t="shared" si="13"/>
        <v>36.4</v>
      </c>
      <c r="E96" s="49">
        <v>222.17</v>
      </c>
      <c r="F96" s="49">
        <f t="shared" si="14"/>
        <v>73.242857142857147</v>
      </c>
      <c r="G96" s="52">
        <f t="shared" si="15"/>
        <v>1.365320850399844E-2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7.7</v>
      </c>
      <c r="Q96" s="49">
        <v>28.7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2.2583333333333333</v>
      </c>
      <c r="D97" s="51">
        <f t="shared" si="13"/>
        <v>27.1</v>
      </c>
      <c r="E97" s="49">
        <v>222.17</v>
      </c>
      <c r="F97" s="49">
        <f t="shared" si="14"/>
        <v>98.377859778597781</v>
      </c>
      <c r="G97" s="52">
        <f t="shared" si="15"/>
        <v>1.0164888748855981E-2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25.1</v>
      </c>
      <c r="R97" s="49">
        <v>2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SUM(I98:T98)</f>
        <v>0</v>
      </c>
      <c r="E98" s="49">
        <v>222.17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222.17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5.875</v>
      </c>
      <c r="D100" s="51">
        <f t="shared" si="17"/>
        <v>70.5</v>
      </c>
      <c r="E100" s="49">
        <v>222.17</v>
      </c>
      <c r="F100" s="49">
        <f t="shared" si="18"/>
        <v>37.816170212765954</v>
      </c>
      <c r="G100" s="52">
        <f t="shared" si="19"/>
        <v>2.6443714272854121E-2</v>
      </c>
      <c r="I100" s="49">
        <v>0</v>
      </c>
      <c r="J100" s="49">
        <v>5</v>
      </c>
      <c r="K100" s="49">
        <v>56.5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9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3.7166666666666668</v>
      </c>
      <c r="D101" s="51">
        <f t="shared" si="17"/>
        <v>44.6</v>
      </c>
      <c r="E101" s="49">
        <v>222.17</v>
      </c>
      <c r="F101" s="49">
        <f t="shared" si="18"/>
        <v>59.776681614349769</v>
      </c>
      <c r="G101" s="52">
        <f t="shared" si="19"/>
        <v>1.6728931298855231E-2</v>
      </c>
      <c r="I101" s="49">
        <v>44.6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8.0166666666666657</v>
      </c>
      <c r="D102" s="51">
        <f t="shared" si="17"/>
        <v>96.199999999999989</v>
      </c>
      <c r="E102" s="49">
        <v>222.17</v>
      </c>
      <c r="F102" s="49">
        <f t="shared" si="18"/>
        <v>27.713513513513515</v>
      </c>
      <c r="G102" s="52">
        <f t="shared" si="19"/>
        <v>3.6083479617710162E-2</v>
      </c>
      <c r="I102" s="49">
        <v>11.1</v>
      </c>
      <c r="J102" s="49">
        <v>56.4</v>
      </c>
      <c r="K102" s="49">
        <v>0</v>
      </c>
      <c r="L102" s="49">
        <v>0</v>
      </c>
      <c r="M102" s="49">
        <v>0</v>
      </c>
      <c r="N102" s="49">
        <v>0</v>
      </c>
      <c r="O102" s="49">
        <v>2.6</v>
      </c>
      <c r="P102" s="49">
        <v>26.1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4.7833333333333332</v>
      </c>
      <c r="D103" s="51">
        <f t="shared" si="17"/>
        <v>57.4</v>
      </c>
      <c r="E103" s="49">
        <v>222.17</v>
      </c>
      <c r="F103" s="49">
        <f t="shared" si="18"/>
        <v>46.446689895470385</v>
      </c>
      <c r="G103" s="52">
        <f t="shared" si="19"/>
        <v>2.153005956399754E-2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57.4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0.68541666666666667</v>
      </c>
      <c r="D104" s="51">
        <f t="shared" si="17"/>
        <v>8.2249999999999996</v>
      </c>
      <c r="E104" s="49">
        <v>222.17</v>
      </c>
      <c r="F104" s="49">
        <f t="shared" si="18"/>
        <v>324.1386018237082</v>
      </c>
      <c r="G104" s="52">
        <f t="shared" si="19"/>
        <v>3.0850999984996475E-3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8.2249999999999996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2.6</v>
      </c>
      <c r="D105" s="51">
        <f t="shared" si="17"/>
        <v>31.2</v>
      </c>
      <c r="E105" s="49">
        <v>222.17</v>
      </c>
      <c r="F105" s="49">
        <f t="shared" si="18"/>
        <v>85.449999999999989</v>
      </c>
      <c r="G105" s="52">
        <f t="shared" si="19"/>
        <v>1.1702750146284378E-2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31.2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2.5833333333333335</v>
      </c>
      <c r="D106" s="51">
        <f t="shared" si="17"/>
        <v>31</v>
      </c>
      <c r="E106" s="49">
        <v>222.17</v>
      </c>
      <c r="F106" s="49">
        <f t="shared" si="18"/>
        <v>86.00129032258063</v>
      </c>
      <c r="G106" s="52">
        <f t="shared" si="19"/>
        <v>1.1627732517141529E-2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31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2.6916666666666664</v>
      </c>
      <c r="D107" s="51">
        <f t="shared" si="17"/>
        <v>32.299999999999997</v>
      </c>
      <c r="E107" s="49">
        <v>222.17</v>
      </c>
      <c r="F107" s="49">
        <f t="shared" si="18"/>
        <v>82.539938080495361</v>
      </c>
      <c r="G107" s="52">
        <f t="shared" si="19"/>
        <v>1.2115347106570043E-2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32.299999999999997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2.375</v>
      </c>
      <c r="D108" s="51">
        <f t="shared" ref="D108" si="21">SUM(I108:T108)</f>
        <v>28.5</v>
      </c>
      <c r="E108" s="49">
        <v>222.17</v>
      </c>
      <c r="F108" s="49">
        <f t="shared" ref="F108" si="22">E108/C108</f>
        <v>93.545263157894738</v>
      </c>
      <c r="G108" s="52">
        <f t="shared" ref="G108" si="23">C108/E108</f>
        <v>1.0690012152855921E-2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2.2000000000000002</v>
      </c>
      <c r="P108" s="54">
        <v>26.3</v>
      </c>
      <c r="Q108" s="54">
        <v>0</v>
      </c>
      <c r="R108" s="54">
        <v>0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2.9166666666666665</v>
      </c>
      <c r="D109" s="51">
        <f t="shared" ref="D109" si="25">SUM(I109:T109)</f>
        <v>35</v>
      </c>
      <c r="E109" s="49">
        <v>222.17</v>
      </c>
      <c r="F109" s="49">
        <f t="shared" ref="F109" si="26">E109/C109</f>
        <v>76.17257142857143</v>
      </c>
      <c r="G109" s="52">
        <f t="shared" ref="G109" si="27">C109/E109</f>
        <v>1.31280850999985E-2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19.100000000000001</v>
      </c>
      <c r="O109" s="54">
        <v>15.9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4.8666666666666671</v>
      </c>
      <c r="D110" s="51">
        <f t="shared" ref="D110" si="29">SUM(I110:T110)</f>
        <v>58.400000000000006</v>
      </c>
      <c r="E110" s="49">
        <v>222.17</v>
      </c>
      <c r="F110" s="49">
        <f t="shared" ref="F110" si="30">E110/C110</f>
        <v>45.651369863013691</v>
      </c>
      <c r="G110" s="52">
        <f t="shared" ref="G110" si="31">C110/E110</f>
        <v>2.1905147709711786E-2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17">
        <v>58.2</v>
      </c>
      <c r="Q110" s="17">
        <v>0.2</v>
      </c>
      <c r="R110" s="17">
        <v>0</v>
      </c>
      <c r="S110" s="17">
        <v>0</v>
      </c>
      <c r="T110" s="17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3.387096774193548</v>
      </c>
      <c r="D111" s="51">
        <f t="shared" ref="D111" si="33">SUM(I111:T111)</f>
        <v>40.645161290322577</v>
      </c>
      <c r="E111" s="49">
        <v>222.17</v>
      </c>
      <c r="F111" s="49">
        <f t="shared" ref="F111" si="34">E111/C111</f>
        <v>65.593047619047624</v>
      </c>
      <c r="G111" s="52">
        <f t="shared" ref="G111" si="35">C111/E111</f>
        <v>1.5245518180643418E-2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29.032258064516128</v>
      </c>
      <c r="P111" s="17">
        <v>11.612903225806452</v>
      </c>
      <c r="Q111" s="17">
        <v>0</v>
      </c>
      <c r="R111" s="17">
        <v>0</v>
      </c>
      <c r="S111" s="17">
        <v>0</v>
      </c>
      <c r="T111" s="17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3.3583333333333329</v>
      </c>
      <c r="D112" s="51">
        <f t="shared" ref="D112" si="37">SUM(I112:T112)</f>
        <v>40.299999999999997</v>
      </c>
      <c r="E112" s="49">
        <v>222.17</v>
      </c>
      <c r="F112" s="49">
        <f t="shared" ref="F112" si="38">E112/C112</f>
        <v>66.154838709677421</v>
      </c>
      <c r="G112" s="52">
        <f t="shared" ref="G112" si="39">C112/E112</f>
        <v>1.5116052272283987E-2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40.299999999999997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0.664062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.33203125" style="56" customWidth="1"/>
    <col min="11" max="16" width="9.33203125" style="56" bestFit="1" customWidth="1"/>
    <col min="17" max="17" width="12.109375" style="56" customWidth="1"/>
    <col min="18" max="18" width="9.33203125" style="56" bestFit="1" customWidth="1"/>
    <col min="19" max="19" width="11.6640625" style="56" customWidth="1"/>
    <col min="20" max="20" width="11.5546875" style="56" customWidth="1"/>
    <col min="21" max="16384" width="9.109375" style="40"/>
  </cols>
  <sheetData>
    <row r="1" spans="1:20" ht="15" x14ac:dyDescent="0.25">
      <c r="A1" s="120" t="s">
        <v>80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8.3333333333333329E-2</v>
      </c>
      <c r="D93" s="51">
        <f>SUM(I93:T93)</f>
        <v>1</v>
      </c>
      <c r="E93" s="49">
        <v>223.6</v>
      </c>
      <c r="F93" s="49">
        <f>E93/C93</f>
        <v>2683.2000000000003</v>
      </c>
      <c r="G93" s="52">
        <f>C93/E93</f>
        <v>3.7268932617769824E-4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1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5.000000000000001E-2</v>
      </c>
      <c r="D94" s="51">
        <f t="shared" ref="D94:D97" si="13">SUM(I94:T94)</f>
        <v>0.60000000000000009</v>
      </c>
      <c r="E94" s="49">
        <v>223.6</v>
      </c>
      <c r="F94" s="49">
        <f t="shared" ref="F94:F97" si="14">E94/C94</f>
        <v>4471.9999999999991</v>
      </c>
      <c r="G94" s="52">
        <f t="shared" ref="G94:G97" si="15">C94/E94</f>
        <v>2.2361359570661902E-4</v>
      </c>
      <c r="I94" s="49">
        <v>0</v>
      </c>
      <c r="J94" s="49">
        <v>0</v>
      </c>
      <c r="K94" s="49">
        <v>0</v>
      </c>
      <c r="L94" s="49">
        <v>0</v>
      </c>
      <c r="M94" s="49">
        <v>0.4</v>
      </c>
      <c r="N94" s="49">
        <v>0.2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223.6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223.6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0</v>
      </c>
      <c r="D97" s="51">
        <f t="shared" si="13"/>
        <v>0</v>
      </c>
      <c r="E97" s="49">
        <v>223.6</v>
      </c>
      <c r="F97" s="49" t="e">
        <f t="shared" si="14"/>
        <v>#DIV/0!</v>
      </c>
      <c r="G97" s="52">
        <f t="shared" si="15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SUM(I98:T98)</f>
        <v>0</v>
      </c>
      <c r="E98" s="49">
        <v>223.6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223.6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223.6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0</v>
      </c>
      <c r="D101" s="51">
        <f t="shared" si="17"/>
        <v>0</v>
      </c>
      <c r="E101" s="49">
        <v>223.6</v>
      </c>
      <c r="F101" s="49" t="e">
        <f t="shared" si="18"/>
        <v>#DIV/0!</v>
      </c>
      <c r="G101" s="52">
        <f t="shared" si="19"/>
        <v>0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0</v>
      </c>
      <c r="D102" s="51">
        <f t="shared" si="17"/>
        <v>0</v>
      </c>
      <c r="E102" s="49">
        <v>223.6</v>
      </c>
      <c r="F102" s="49" t="e">
        <f t="shared" si="18"/>
        <v>#DIV/0!</v>
      </c>
      <c r="G102" s="52">
        <f t="shared" si="19"/>
        <v>0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0</v>
      </c>
      <c r="D103" s="51">
        <f t="shared" si="17"/>
        <v>0</v>
      </c>
      <c r="E103" s="49">
        <v>223.6</v>
      </c>
      <c r="F103" s="49" t="e">
        <f t="shared" si="18"/>
        <v>#DIV/0!</v>
      </c>
      <c r="G103" s="52">
        <f t="shared" si="19"/>
        <v>0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0</v>
      </c>
      <c r="D104" s="51">
        <f t="shared" si="17"/>
        <v>0</v>
      </c>
      <c r="E104" s="49">
        <v>223.6</v>
      </c>
      <c r="F104" s="49" t="e">
        <f t="shared" si="18"/>
        <v>#DIV/0!</v>
      </c>
      <c r="G104" s="52">
        <f t="shared" si="19"/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0</v>
      </c>
      <c r="D105" s="51">
        <f t="shared" si="17"/>
        <v>0</v>
      </c>
      <c r="E105" s="49">
        <v>223.6</v>
      </c>
      <c r="F105" s="49" t="e">
        <f t="shared" si="18"/>
        <v>#DIV/0!</v>
      </c>
      <c r="G105" s="52">
        <f t="shared" si="19"/>
        <v>0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0</v>
      </c>
      <c r="D106" s="51">
        <f t="shared" si="17"/>
        <v>0</v>
      </c>
      <c r="E106" s="49">
        <v>223.6</v>
      </c>
      <c r="F106" s="49" t="e">
        <f t="shared" si="18"/>
        <v>#DIV/0!</v>
      </c>
      <c r="G106" s="52">
        <f t="shared" si="19"/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0</v>
      </c>
      <c r="D107" s="51">
        <f t="shared" si="17"/>
        <v>0</v>
      </c>
      <c r="E107" s="49">
        <v>223.6</v>
      </c>
      <c r="F107" s="49" t="e">
        <f t="shared" si="18"/>
        <v>#DIV/0!</v>
      </c>
      <c r="G107" s="52">
        <f t="shared" si="19"/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0</v>
      </c>
      <c r="D108" s="51">
        <f t="shared" ref="D108" si="21">SUM(I108:T108)</f>
        <v>0</v>
      </c>
      <c r="E108" s="49">
        <v>223.6</v>
      </c>
      <c r="F108" s="49" t="e">
        <f t="shared" ref="F108" si="22">E108/C108</f>
        <v>#DIV/0!</v>
      </c>
      <c r="G108" s="52">
        <f t="shared" ref="G108" si="23">C108/E108</f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0</v>
      </c>
      <c r="D109" s="51">
        <f t="shared" ref="D109" si="25">SUM(I109:T109)</f>
        <v>0</v>
      </c>
      <c r="E109" s="49">
        <v>223.6</v>
      </c>
      <c r="F109" s="49" t="e">
        <f t="shared" ref="F109" si="26">E109/C109</f>
        <v>#DIV/0!</v>
      </c>
      <c r="G109" s="52">
        <f t="shared" ref="G109" si="27">C109/E109</f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9">
        <v>0</v>
      </c>
      <c r="T109" s="49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0</v>
      </c>
      <c r="D110" s="51">
        <f t="shared" ref="D110" si="29">SUM(I110:T110)</f>
        <v>0</v>
      </c>
      <c r="E110" s="49">
        <v>223.6</v>
      </c>
      <c r="F110" s="49" t="e">
        <f t="shared" ref="F110" si="30">E110/C110</f>
        <v>#DIV/0!</v>
      </c>
      <c r="G110" s="52">
        <f t="shared" ref="G110" si="31">C110/E110</f>
        <v>0</v>
      </c>
      <c r="I110" s="49">
        <v>0</v>
      </c>
      <c r="J110" s="49">
        <v>0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9">
        <v>0</v>
      </c>
      <c r="T110" s="49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0</v>
      </c>
      <c r="D111" s="51">
        <f t="shared" ref="D111" si="33">SUM(I111:T111)</f>
        <v>0</v>
      </c>
      <c r="E111" s="49">
        <v>223.6</v>
      </c>
      <c r="F111" s="49" t="e">
        <f t="shared" ref="F111" si="34">E111/C111</f>
        <v>#DIV/0!</v>
      </c>
      <c r="G111" s="52">
        <f t="shared" ref="G111" si="35">C111/E111</f>
        <v>0</v>
      </c>
      <c r="I111" s="49">
        <v>0</v>
      </c>
      <c r="J111" s="49">
        <v>0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9">
        <v>0</v>
      </c>
      <c r="T111" s="49">
        <v>0</v>
      </c>
    </row>
    <row r="112" spans="1:20" ht="15.75" customHeight="1" x14ac:dyDescent="0.25">
      <c r="A112" s="16">
        <v>2025</v>
      </c>
      <c r="B112" s="9">
        <v>12</v>
      </c>
      <c r="C112" s="51">
        <f t="shared" ref="C112" si="36">D112/B112</f>
        <v>0</v>
      </c>
      <c r="D112" s="51">
        <f t="shared" ref="D112" si="37">SUM(I112:T112)</f>
        <v>0</v>
      </c>
      <c r="E112" s="49">
        <v>223.6</v>
      </c>
      <c r="F112" s="49" t="e">
        <f t="shared" ref="F112" si="38">E112/C112</f>
        <v>#DIV/0!</v>
      </c>
      <c r="G112" s="52">
        <f t="shared" ref="G112" si="39">C112/E112</f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12"/>
  <sheetViews>
    <sheetView zoomScale="80" zoomScaleNormal="80" workbookViewId="0">
      <pane ySplit="1440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.109375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5546875" style="56" customWidth="1"/>
    <col min="18" max="18" width="9.33203125" style="56" bestFit="1" customWidth="1"/>
    <col min="19" max="19" width="12.33203125" style="56" customWidth="1"/>
    <col min="20" max="20" width="11.6640625" style="56" customWidth="1"/>
    <col min="21" max="16384" width="9.109375" style="40"/>
  </cols>
  <sheetData>
    <row r="1" spans="1:20" ht="15" x14ac:dyDescent="0.25">
      <c r="A1" s="120" t="s">
        <v>81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H2" s="46"/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67" si="0">D4/B4</f>
        <v>341.95000000000005</v>
      </c>
      <c r="D4" s="10">
        <f>SUM(I4:T4)</f>
        <v>4103.4000000000005</v>
      </c>
      <c r="E4" s="14">
        <v>3827.51</v>
      </c>
      <c r="F4" s="14">
        <f t="shared" ref="F4:F67" si="1">E4/C4</f>
        <v>11.193186138324316</v>
      </c>
      <c r="G4" s="38">
        <f t="shared" ref="G4:G67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6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87.608333333333348</v>
      </c>
      <c r="D59" s="10">
        <f t="shared" si="3"/>
        <v>1051.3000000000002</v>
      </c>
      <c r="E59" s="14">
        <v>1341.04</v>
      </c>
      <c r="F59" s="14">
        <f t="shared" si="1"/>
        <v>15.307219632835533</v>
      </c>
      <c r="G59" s="38">
        <f t="shared" si="2"/>
        <v>6.5328650400684057E-2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14">
        <v>73.3</v>
      </c>
      <c r="P59" s="14">
        <v>73</v>
      </c>
      <c r="Q59" s="14">
        <v>73</v>
      </c>
      <c r="R59" s="14">
        <v>57.1</v>
      </c>
      <c r="S59" s="14">
        <v>172</v>
      </c>
      <c r="T59" s="14">
        <v>172</v>
      </c>
    </row>
    <row r="60" spans="1:20" s="13" customFormat="1" ht="15.75" customHeight="1" x14ac:dyDescent="0.25">
      <c r="A60" s="9">
        <v>1973</v>
      </c>
      <c r="B60" s="9">
        <v>12</v>
      </c>
      <c r="C60" s="10">
        <f t="shared" si="0"/>
        <v>28.666666666666668</v>
      </c>
      <c r="D60" s="10">
        <f t="shared" si="3"/>
        <v>344</v>
      </c>
      <c r="E60" s="14">
        <v>1341.04</v>
      </c>
      <c r="F60" s="14">
        <f t="shared" si="1"/>
        <v>46.780465116279068</v>
      </c>
      <c r="G60" s="38">
        <f t="shared" si="2"/>
        <v>2.1376444152796836E-2</v>
      </c>
      <c r="H60" s="39"/>
      <c r="I60" s="14">
        <v>172</v>
      </c>
      <c r="J60" s="14">
        <v>172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</row>
    <row r="61" spans="1:20" s="13" customFormat="1" ht="15.75" customHeight="1" x14ac:dyDescent="0.25">
      <c r="A61" s="9">
        <v>1974</v>
      </c>
      <c r="B61" s="9">
        <v>12</v>
      </c>
      <c r="C61" s="10">
        <f t="shared" si="0"/>
        <v>123.66666666666667</v>
      </c>
      <c r="D61" s="10">
        <f t="shared" si="3"/>
        <v>1484</v>
      </c>
      <c r="E61" s="14">
        <v>1341.04</v>
      </c>
      <c r="F61" s="14">
        <f t="shared" si="1"/>
        <v>10.84398921832884</v>
      </c>
      <c r="G61" s="38">
        <f t="shared" si="2"/>
        <v>9.2216985821949135E-2</v>
      </c>
      <c r="H61" s="39"/>
      <c r="I61" s="14">
        <v>0</v>
      </c>
      <c r="J61" s="14">
        <v>0</v>
      </c>
      <c r="K61" s="14">
        <v>185.5</v>
      </c>
      <c r="L61" s="14">
        <v>185.5</v>
      </c>
      <c r="M61" s="14">
        <v>185.5</v>
      </c>
      <c r="N61" s="14">
        <v>185.5</v>
      </c>
      <c r="O61" s="14">
        <v>185.5</v>
      </c>
      <c r="P61" s="14">
        <v>185.5</v>
      </c>
      <c r="Q61" s="14">
        <v>185.5</v>
      </c>
      <c r="R61" s="14">
        <v>185.5</v>
      </c>
      <c r="S61" s="14"/>
      <c r="T61" s="14"/>
    </row>
    <row r="62" spans="1:20" s="13" customFormat="1" ht="15.75" customHeight="1" x14ac:dyDescent="0.25">
      <c r="A62" s="9">
        <v>1975</v>
      </c>
      <c r="B62" s="9">
        <v>12</v>
      </c>
      <c r="C62" s="10">
        <f t="shared" si="0"/>
        <v>28.666666666666668</v>
      </c>
      <c r="D62" s="10">
        <f t="shared" si="3"/>
        <v>344</v>
      </c>
      <c r="E62" s="14">
        <v>1341.04</v>
      </c>
      <c r="F62" s="14">
        <f t="shared" si="1"/>
        <v>46.780465116279068</v>
      </c>
      <c r="G62" s="38">
        <f t="shared" si="2"/>
        <v>2.1376444152796836E-2</v>
      </c>
      <c r="H62" s="39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172</v>
      </c>
      <c r="T62" s="14">
        <v>172</v>
      </c>
    </row>
    <row r="63" spans="1:20" s="13" customFormat="1" ht="15.75" customHeight="1" x14ac:dyDescent="0.25">
      <c r="A63" s="9">
        <v>1976</v>
      </c>
      <c r="B63" s="9">
        <v>12</v>
      </c>
      <c r="C63" s="10">
        <f t="shared" si="0"/>
        <v>28.666666666666668</v>
      </c>
      <c r="D63" s="10">
        <f t="shared" si="3"/>
        <v>344</v>
      </c>
      <c r="E63" s="14">
        <v>1341.04</v>
      </c>
      <c r="F63" s="14">
        <f t="shared" si="1"/>
        <v>46.780465116279068</v>
      </c>
      <c r="G63" s="38">
        <f t="shared" si="2"/>
        <v>2.1376444152796836E-2</v>
      </c>
      <c r="H63" s="39"/>
      <c r="I63" s="14">
        <v>172</v>
      </c>
      <c r="J63" s="14">
        <v>172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</row>
    <row r="64" spans="1:20" s="13" customFormat="1" ht="15.75" customHeight="1" x14ac:dyDescent="0.25">
      <c r="A64" s="9">
        <v>1977</v>
      </c>
      <c r="B64" s="9">
        <v>12</v>
      </c>
      <c r="C64" s="10">
        <f t="shared" si="0"/>
        <v>123.66666666666667</v>
      </c>
      <c r="D64" s="10">
        <f t="shared" si="3"/>
        <v>1484</v>
      </c>
      <c r="E64" s="14">
        <v>1341.04</v>
      </c>
      <c r="F64" s="14">
        <f t="shared" si="1"/>
        <v>10.84398921832884</v>
      </c>
      <c r="G64" s="38">
        <f t="shared" si="2"/>
        <v>9.2216985821949135E-2</v>
      </c>
      <c r="H64" s="39"/>
      <c r="I64" s="14">
        <v>0</v>
      </c>
      <c r="J64" s="14">
        <v>0</v>
      </c>
      <c r="K64" s="14">
        <v>185.5</v>
      </c>
      <c r="L64" s="14">
        <v>185.5</v>
      </c>
      <c r="M64" s="14">
        <v>185.5</v>
      </c>
      <c r="N64" s="14">
        <v>185.5</v>
      </c>
      <c r="O64" s="14">
        <v>185.5</v>
      </c>
      <c r="P64" s="14">
        <v>185.5</v>
      </c>
      <c r="Q64" s="14">
        <v>185.5</v>
      </c>
      <c r="R64" s="14">
        <v>185.5</v>
      </c>
      <c r="S64" s="14">
        <v>0</v>
      </c>
      <c r="T64" s="14">
        <v>0</v>
      </c>
    </row>
    <row r="65" spans="1:20" s="13" customFormat="1" ht="15.75" customHeight="1" x14ac:dyDescent="0.25">
      <c r="A65" s="9">
        <v>1978</v>
      </c>
      <c r="B65" s="9">
        <v>12</v>
      </c>
      <c r="C65" s="10">
        <f t="shared" si="0"/>
        <v>28.666666666666668</v>
      </c>
      <c r="D65" s="10">
        <f t="shared" si="3"/>
        <v>344</v>
      </c>
      <c r="E65" s="14">
        <v>1341.04</v>
      </c>
      <c r="F65" s="14">
        <f t="shared" si="1"/>
        <v>46.780465116279068</v>
      </c>
      <c r="G65" s="38">
        <f t="shared" si="2"/>
        <v>2.1376444152796836E-2</v>
      </c>
      <c r="H65" s="39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172</v>
      </c>
      <c r="T65" s="14">
        <v>172</v>
      </c>
    </row>
    <row r="66" spans="1:20" s="13" customFormat="1" ht="15.75" customHeight="1" x14ac:dyDescent="0.25">
      <c r="A66" s="9">
        <v>1979</v>
      </c>
      <c r="B66" s="9">
        <v>12</v>
      </c>
      <c r="C66" s="10">
        <f t="shared" si="0"/>
        <v>28.666666666666668</v>
      </c>
      <c r="D66" s="10">
        <f t="shared" si="3"/>
        <v>344</v>
      </c>
      <c r="E66" s="14">
        <v>1341.04</v>
      </c>
      <c r="F66" s="14">
        <f t="shared" si="1"/>
        <v>46.780465116279068</v>
      </c>
      <c r="G66" s="38">
        <f t="shared" si="2"/>
        <v>2.1376444152796836E-2</v>
      </c>
      <c r="H66" s="39"/>
      <c r="I66" s="14">
        <v>172</v>
      </c>
      <c r="J66" s="14">
        <v>172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</row>
    <row r="67" spans="1:20" s="13" customFormat="1" ht="15.75" customHeight="1" x14ac:dyDescent="0.25">
      <c r="A67" s="9">
        <v>1980</v>
      </c>
      <c r="B67" s="9">
        <v>12</v>
      </c>
      <c r="C67" s="10">
        <f t="shared" si="0"/>
        <v>123.66666666666667</v>
      </c>
      <c r="D67" s="10">
        <f t="shared" si="3"/>
        <v>1484</v>
      </c>
      <c r="E67" s="14">
        <v>1341.04</v>
      </c>
      <c r="F67" s="14">
        <f t="shared" si="1"/>
        <v>10.84398921832884</v>
      </c>
      <c r="G67" s="38">
        <f t="shared" si="2"/>
        <v>9.2216985821949135E-2</v>
      </c>
      <c r="H67" s="39"/>
      <c r="I67" s="14">
        <v>0</v>
      </c>
      <c r="J67" s="14">
        <v>0</v>
      </c>
      <c r="K67" s="14">
        <v>185.5</v>
      </c>
      <c r="L67" s="14">
        <v>185.5</v>
      </c>
      <c r="M67" s="14">
        <v>185.5</v>
      </c>
      <c r="N67" s="14">
        <v>185.5</v>
      </c>
      <c r="O67" s="14">
        <v>185.5</v>
      </c>
      <c r="P67" s="14">
        <v>185.5</v>
      </c>
      <c r="Q67" s="14">
        <v>185.5</v>
      </c>
      <c r="R67" s="14">
        <v>185.5</v>
      </c>
      <c r="S67" s="14">
        <v>0</v>
      </c>
      <c r="T67" s="14">
        <v>0</v>
      </c>
    </row>
    <row r="68" spans="1:20" s="13" customFormat="1" ht="15.75" customHeight="1" x14ac:dyDescent="0.25">
      <c r="A68" s="9">
        <v>1981</v>
      </c>
      <c r="B68" s="9">
        <v>12</v>
      </c>
      <c r="C68" s="10">
        <f t="shared" ref="C68:C76" si="4">D68/B68</f>
        <v>28.666666666666668</v>
      </c>
      <c r="D68" s="10">
        <f t="shared" si="3"/>
        <v>344</v>
      </c>
      <c r="E68" s="14">
        <v>1341.04</v>
      </c>
      <c r="F68" s="14">
        <f t="shared" ref="F68:F76" si="5">E68/C68</f>
        <v>46.780465116279068</v>
      </c>
      <c r="G68" s="38">
        <f t="shared" ref="G68:G76" si="6">C68/E68</f>
        <v>2.1376444152796836E-2</v>
      </c>
      <c r="H68" s="39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172</v>
      </c>
      <c r="T68" s="14">
        <v>172</v>
      </c>
    </row>
    <row r="69" spans="1:20" s="13" customFormat="1" ht="15.75" customHeight="1" x14ac:dyDescent="0.25">
      <c r="A69" s="9">
        <v>1982</v>
      </c>
      <c r="B69" s="9">
        <v>12</v>
      </c>
      <c r="C69" s="10">
        <f t="shared" si="4"/>
        <v>28.666666666666668</v>
      </c>
      <c r="D69" s="10">
        <f t="shared" ref="D69:D75" si="7">SUM(I69:T69)</f>
        <v>344</v>
      </c>
      <c r="E69" s="14">
        <v>1341.04</v>
      </c>
      <c r="F69" s="14">
        <f t="shared" si="5"/>
        <v>46.780465116279068</v>
      </c>
      <c r="G69" s="38">
        <f t="shared" si="6"/>
        <v>2.1376444152796836E-2</v>
      </c>
      <c r="H69" s="39"/>
      <c r="I69" s="14">
        <v>172</v>
      </c>
      <c r="J69" s="14">
        <v>172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</row>
    <row r="70" spans="1:20" s="13" customFormat="1" ht="15.75" customHeight="1" x14ac:dyDescent="0.25">
      <c r="A70" s="9">
        <v>1983</v>
      </c>
      <c r="B70" s="9">
        <v>12</v>
      </c>
      <c r="C70" s="10">
        <f t="shared" si="4"/>
        <v>123.66666666666667</v>
      </c>
      <c r="D70" s="10">
        <f t="shared" si="7"/>
        <v>1484</v>
      </c>
      <c r="E70" s="14">
        <v>1341.04</v>
      </c>
      <c r="F70" s="14">
        <f t="shared" si="5"/>
        <v>10.84398921832884</v>
      </c>
      <c r="G70" s="38">
        <f t="shared" si="6"/>
        <v>9.2216985821949135E-2</v>
      </c>
      <c r="H70" s="39"/>
      <c r="I70" s="14">
        <v>0</v>
      </c>
      <c r="J70" s="14">
        <v>0</v>
      </c>
      <c r="K70" s="14">
        <v>185.5</v>
      </c>
      <c r="L70" s="14">
        <v>185.5</v>
      </c>
      <c r="M70" s="14">
        <v>185.5</v>
      </c>
      <c r="N70" s="14">
        <v>185.5</v>
      </c>
      <c r="O70" s="14">
        <v>185.5</v>
      </c>
      <c r="P70" s="14">
        <v>185.5</v>
      </c>
      <c r="Q70" s="14">
        <v>185.5</v>
      </c>
      <c r="R70" s="14">
        <v>185.5</v>
      </c>
      <c r="S70" s="14">
        <v>0</v>
      </c>
      <c r="T70" s="14">
        <v>0</v>
      </c>
    </row>
    <row r="71" spans="1:20" s="13" customFormat="1" ht="15.75" customHeight="1" x14ac:dyDescent="0.25">
      <c r="A71" s="9">
        <v>1984</v>
      </c>
      <c r="B71" s="9">
        <v>12</v>
      </c>
      <c r="C71" s="10">
        <f t="shared" si="4"/>
        <v>17.333333333333332</v>
      </c>
      <c r="D71" s="10">
        <f t="shared" si="7"/>
        <v>208</v>
      </c>
      <c r="E71" s="14">
        <v>1341.04</v>
      </c>
      <c r="F71" s="14">
        <f t="shared" si="5"/>
        <v>77.367692307692309</v>
      </c>
      <c r="G71" s="38">
        <f t="shared" si="6"/>
        <v>1.2925291813319015E-2</v>
      </c>
      <c r="H71" s="39"/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104</v>
      </c>
      <c r="T71" s="14">
        <v>104</v>
      </c>
    </row>
    <row r="72" spans="1:20" s="13" customFormat="1" ht="15.75" customHeight="1" x14ac:dyDescent="0.25">
      <c r="A72" s="9">
        <v>1985</v>
      </c>
      <c r="B72" s="9">
        <v>12</v>
      </c>
      <c r="C72" s="10">
        <f t="shared" si="4"/>
        <v>78</v>
      </c>
      <c r="D72" s="10">
        <f t="shared" si="7"/>
        <v>936</v>
      </c>
      <c r="E72" s="14">
        <v>1341.04</v>
      </c>
      <c r="F72" s="14">
        <f t="shared" si="5"/>
        <v>17.192820512820511</v>
      </c>
      <c r="G72" s="38">
        <f t="shared" si="6"/>
        <v>5.8163813159935573E-2</v>
      </c>
      <c r="H72" s="39"/>
      <c r="I72" s="14">
        <v>104</v>
      </c>
      <c r="J72" s="14">
        <v>104</v>
      </c>
      <c r="K72" s="14">
        <v>104</v>
      </c>
      <c r="L72" s="14">
        <v>104</v>
      </c>
      <c r="M72" s="14">
        <v>104</v>
      </c>
      <c r="N72" s="14">
        <v>104</v>
      </c>
      <c r="O72" s="14">
        <v>104</v>
      </c>
      <c r="P72" s="14">
        <v>104</v>
      </c>
      <c r="Q72" s="14">
        <v>104</v>
      </c>
      <c r="R72" s="14">
        <v>0</v>
      </c>
      <c r="S72" s="14">
        <v>0</v>
      </c>
      <c r="T72" s="14">
        <v>0</v>
      </c>
    </row>
    <row r="73" spans="1:20" s="13" customFormat="1" ht="15.75" customHeight="1" x14ac:dyDescent="0.25">
      <c r="A73" s="9">
        <v>1986</v>
      </c>
      <c r="B73" s="9">
        <v>12</v>
      </c>
      <c r="C73" s="10">
        <f t="shared" si="4"/>
        <v>35.333333333333336</v>
      </c>
      <c r="D73" s="10">
        <f t="shared" si="7"/>
        <v>424</v>
      </c>
      <c r="E73" s="14">
        <v>1341.04</v>
      </c>
      <c r="F73" s="14">
        <f t="shared" si="5"/>
        <v>37.953962264150938</v>
      </c>
      <c r="G73" s="38">
        <f t="shared" si="6"/>
        <v>2.6347710234842611E-2</v>
      </c>
      <c r="H73" s="39"/>
      <c r="I73" s="14">
        <v>0</v>
      </c>
      <c r="J73" s="14">
        <v>0</v>
      </c>
      <c r="K73" s="14">
        <v>53</v>
      </c>
      <c r="L73" s="14">
        <v>53</v>
      </c>
      <c r="M73" s="14">
        <v>53</v>
      </c>
      <c r="N73" s="14">
        <v>53</v>
      </c>
      <c r="O73" s="14">
        <v>53</v>
      </c>
      <c r="P73" s="14">
        <v>53</v>
      </c>
      <c r="Q73" s="14">
        <v>53</v>
      </c>
      <c r="R73" s="14">
        <v>53</v>
      </c>
      <c r="S73" s="14">
        <v>0</v>
      </c>
      <c r="T73" s="14">
        <v>0</v>
      </c>
    </row>
    <row r="74" spans="1:20" s="13" customFormat="1" ht="15.75" customHeight="1" x14ac:dyDescent="0.25">
      <c r="A74" s="9">
        <v>1987</v>
      </c>
      <c r="B74" s="9">
        <v>12</v>
      </c>
      <c r="C74" s="10">
        <f t="shared" si="4"/>
        <v>18.175000000000001</v>
      </c>
      <c r="D74" s="10">
        <f t="shared" si="7"/>
        <v>218.10000000000002</v>
      </c>
      <c r="E74" s="14">
        <v>1341.04</v>
      </c>
      <c r="F74" s="14">
        <f t="shared" si="5"/>
        <v>73.784869325997249</v>
      </c>
      <c r="G74" s="38">
        <f t="shared" si="6"/>
        <v>1.3552914156177296E-2</v>
      </c>
      <c r="H74" s="39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72.7</v>
      </c>
      <c r="S74" s="14">
        <v>72.7</v>
      </c>
      <c r="T74" s="14">
        <v>72.7</v>
      </c>
    </row>
    <row r="75" spans="1:20" s="13" customFormat="1" ht="15.75" customHeight="1" x14ac:dyDescent="0.25">
      <c r="A75" s="9">
        <v>1988</v>
      </c>
      <c r="B75" s="9">
        <v>12</v>
      </c>
      <c r="C75" s="10">
        <f t="shared" si="4"/>
        <v>18.175000000000001</v>
      </c>
      <c r="D75" s="10">
        <f t="shared" si="7"/>
        <v>218.10000000000002</v>
      </c>
      <c r="E75" s="14">
        <v>1341.04</v>
      </c>
      <c r="F75" s="14">
        <f t="shared" si="5"/>
        <v>73.784869325997249</v>
      </c>
      <c r="G75" s="38">
        <f t="shared" si="6"/>
        <v>1.3552914156177296E-2</v>
      </c>
      <c r="H75" s="39"/>
      <c r="I75" s="14">
        <v>72.7</v>
      </c>
      <c r="J75" s="14">
        <v>72.7</v>
      </c>
      <c r="K75" s="14">
        <v>72.7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</row>
    <row r="76" spans="1:20" s="13" customFormat="1" ht="15.75" customHeight="1" x14ac:dyDescent="0.25">
      <c r="A76" s="9">
        <v>1989</v>
      </c>
      <c r="B76" s="9">
        <v>12</v>
      </c>
      <c r="C76" s="10">
        <f t="shared" si="4"/>
        <v>61.333333333333336</v>
      </c>
      <c r="D76" s="10">
        <f>SUM(I76:T76)</f>
        <v>736</v>
      </c>
      <c r="E76" s="14">
        <v>1341.04</v>
      </c>
      <c r="F76" s="14">
        <f t="shared" si="5"/>
        <v>21.864782608695652</v>
      </c>
      <c r="G76" s="38">
        <f t="shared" si="6"/>
        <v>4.5735647954821136E-2</v>
      </c>
      <c r="H76" s="39"/>
      <c r="I76" s="14">
        <v>0</v>
      </c>
      <c r="J76" s="14">
        <v>0</v>
      </c>
      <c r="K76" s="14">
        <v>54.5</v>
      </c>
      <c r="L76" s="14">
        <v>54.5</v>
      </c>
      <c r="M76" s="14">
        <v>54.5</v>
      </c>
      <c r="N76" s="14">
        <v>54.5</v>
      </c>
      <c r="O76" s="14">
        <v>54.5</v>
      </c>
      <c r="P76" s="14">
        <v>54.5</v>
      </c>
      <c r="Q76" s="14">
        <v>54.5</v>
      </c>
      <c r="R76" s="14">
        <v>54.5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SUM(J93:U93)</f>
        <v>0</v>
      </c>
      <c r="E93" s="49">
        <v>147.86000000000001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SUM(J94:U94)</f>
        <v>0</v>
      </c>
      <c r="E94" s="49">
        <v>147.86000000000001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147.86000000000001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0</v>
      </c>
      <c r="D96" s="51">
        <f t="shared" si="13"/>
        <v>0</v>
      </c>
      <c r="E96" s="49">
        <v>147.86000000000001</v>
      </c>
      <c r="F96" s="49" t="e">
        <f t="shared" si="14"/>
        <v>#DIV/0!</v>
      </c>
      <c r="G96" s="52">
        <f t="shared" si="15"/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0</v>
      </c>
      <c r="D97" s="51">
        <f t="shared" si="13"/>
        <v>0</v>
      </c>
      <c r="E97" s="49">
        <v>147.86000000000001</v>
      </c>
      <c r="F97" s="49" t="e">
        <f t="shared" si="14"/>
        <v>#DIV/0!</v>
      </c>
      <c r="G97" s="52">
        <f t="shared" si="15"/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0</v>
      </c>
      <c r="D98" s="51">
        <f t="shared" ref="D98:D107" si="17">SUM(J98:U98)</f>
        <v>0</v>
      </c>
      <c r="E98" s="49">
        <v>147.86000000000001</v>
      </c>
      <c r="F98" s="49" t="e">
        <f t="shared" ref="F98:F107" si="18">E98/C98</f>
        <v>#DIV/0!</v>
      </c>
      <c r="G98" s="52">
        <f t="shared" ref="G98:G107" si="19">C98/E98</f>
        <v>0</v>
      </c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49">
        <v>0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0</v>
      </c>
      <c r="D99" s="51">
        <f t="shared" si="17"/>
        <v>0</v>
      </c>
      <c r="E99" s="49">
        <v>147.86000000000001</v>
      </c>
      <c r="F99" s="49" t="e">
        <f t="shared" si="18"/>
        <v>#DIV/0!</v>
      </c>
      <c r="G99" s="52">
        <f t="shared" si="19"/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0</v>
      </c>
      <c r="D100" s="51">
        <f t="shared" si="17"/>
        <v>0</v>
      </c>
      <c r="E100" s="49">
        <v>147.86000000000001</v>
      </c>
      <c r="F100" s="49" t="e">
        <f t="shared" si="18"/>
        <v>#DIV/0!</v>
      </c>
      <c r="G100" s="52">
        <f t="shared" si="19"/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3.3083333333333336</v>
      </c>
      <c r="D101" s="51">
        <f t="shared" si="17"/>
        <v>39.700000000000003</v>
      </c>
      <c r="E101" s="49">
        <v>147.86000000000001</v>
      </c>
      <c r="F101" s="49">
        <f t="shared" si="18"/>
        <v>44.693198992443328</v>
      </c>
      <c r="G101" s="52">
        <f t="shared" si="19"/>
        <v>2.2374768925560215E-2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39.700000000000003</v>
      </c>
      <c r="R101" s="49">
        <v>0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2.1750000000000003</v>
      </c>
      <c r="D102" s="51">
        <f t="shared" si="17"/>
        <v>26.1</v>
      </c>
      <c r="E102" s="49">
        <v>147.86000000000001</v>
      </c>
      <c r="F102" s="49">
        <f t="shared" si="18"/>
        <v>67.981609195402299</v>
      </c>
      <c r="G102" s="52">
        <f t="shared" si="19"/>
        <v>1.4709860679020696E-2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26.1</v>
      </c>
      <c r="Q102" s="49">
        <v>0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6.9950000000000001</v>
      </c>
      <c r="D103" s="51">
        <f t="shared" si="17"/>
        <v>83.94</v>
      </c>
      <c r="E103" s="49">
        <v>147.86000000000001</v>
      </c>
      <c r="F103" s="49">
        <f t="shared" si="18"/>
        <v>21.137955682630452</v>
      </c>
      <c r="G103" s="52">
        <f t="shared" si="19"/>
        <v>4.7308264574597587E-2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23.81</v>
      </c>
      <c r="Q103" s="49">
        <v>60.13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1.1425000000000001</v>
      </c>
      <c r="D104" s="51">
        <f t="shared" si="17"/>
        <v>13.71</v>
      </c>
      <c r="E104" s="49">
        <v>147.86000000000001</v>
      </c>
      <c r="F104" s="49">
        <f t="shared" si="18"/>
        <v>129.41794310722102</v>
      </c>
      <c r="G104" s="52">
        <f t="shared" si="19"/>
        <v>7.7269038279453531E-3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13.71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4.6083333333333334</v>
      </c>
      <c r="D105" s="51">
        <f t="shared" si="17"/>
        <v>55.3</v>
      </c>
      <c r="E105" s="49">
        <v>147.86000000000001</v>
      </c>
      <c r="F105" s="49">
        <f t="shared" si="18"/>
        <v>32.085352622061485</v>
      </c>
      <c r="G105" s="52">
        <f t="shared" si="19"/>
        <v>3.1166869561296721E-2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14.2</v>
      </c>
      <c r="O105" s="49">
        <v>41.1</v>
      </c>
      <c r="P105" s="49">
        <v>0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3.3333333333333335</v>
      </c>
      <c r="D106" s="51">
        <f t="shared" si="17"/>
        <v>40</v>
      </c>
      <c r="E106" s="49">
        <v>147.86000000000001</v>
      </c>
      <c r="F106" s="49">
        <f t="shared" si="18"/>
        <v>44.358000000000004</v>
      </c>
      <c r="G106" s="52">
        <f t="shared" si="19"/>
        <v>2.2543847783939763E-2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40</v>
      </c>
      <c r="R106" s="49">
        <v>0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4.2024999999999997</v>
      </c>
      <c r="D107" s="51">
        <f t="shared" si="17"/>
        <v>50.43</v>
      </c>
      <c r="E107" s="49">
        <v>147.86000000000001</v>
      </c>
      <c r="F107" s="49">
        <f t="shared" si="18"/>
        <v>35.183819155264729</v>
      </c>
      <c r="G107" s="52">
        <f t="shared" si="19"/>
        <v>2.842215609360205E-2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9.93</v>
      </c>
      <c r="P107" s="49">
        <v>17.399999999999999</v>
      </c>
      <c r="Q107" s="49">
        <v>23.1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2.8916666666666671</v>
      </c>
      <c r="D108" s="51">
        <f t="shared" ref="D108" si="21">SUM(J108:U108)</f>
        <v>34.700000000000003</v>
      </c>
      <c r="E108" s="49">
        <v>147.86000000000001</v>
      </c>
      <c r="F108" s="49">
        <f t="shared" ref="F108" si="22">E108/C108</f>
        <v>51.133141210374639</v>
      </c>
      <c r="G108" s="52">
        <f t="shared" ref="G108" si="23">C108/E108</f>
        <v>1.9556787952567746E-2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24.1</v>
      </c>
      <c r="Q108" s="54">
        <v>0</v>
      </c>
      <c r="R108" s="54">
        <v>10.6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2.4250000000000003</v>
      </c>
      <c r="D109" s="51">
        <f t="shared" ref="D109" si="25">SUM(J109:U109)</f>
        <v>29.1</v>
      </c>
      <c r="E109" s="49">
        <v>147.86000000000001</v>
      </c>
      <c r="F109" s="49">
        <f t="shared" ref="F109" si="26">E109/C109</f>
        <v>60.973195876288656</v>
      </c>
      <c r="G109" s="52">
        <f t="shared" ref="G109" si="27">C109/E109</f>
        <v>1.6400649262816178E-2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29.1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3.4416666666666664</v>
      </c>
      <c r="D110" s="51">
        <f t="shared" ref="D110" si="29">SUM(J110:U110)</f>
        <v>41.3</v>
      </c>
      <c r="E110" s="49">
        <v>147.86000000000001</v>
      </c>
      <c r="F110" s="49">
        <f t="shared" ref="F110" si="30">E110/C110</f>
        <v>42.961743341404365</v>
      </c>
      <c r="G110" s="52">
        <f t="shared" ref="G110" si="31">C110/E110</f>
        <v>2.32765228369178E-2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41.3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5.8064516129032251</v>
      </c>
      <c r="D111" s="51">
        <f t="shared" ref="D111" si="33">SUM(J111:U111)</f>
        <v>69.677419354838705</v>
      </c>
      <c r="E111" s="49">
        <v>147.86000000000001</v>
      </c>
      <c r="F111" s="49">
        <f t="shared" ref="F111" si="34">E111/C111</f>
        <v>25.464777777777783</v>
      </c>
      <c r="G111" s="52">
        <f t="shared" ref="G111" si="35">C111/E111</f>
        <v>3.9269928397830549E-2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69.677419354838705</v>
      </c>
      <c r="Q111" s="54">
        <v>0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16">
        <v>2025</v>
      </c>
      <c r="B112" s="9">
        <v>12</v>
      </c>
      <c r="C112" s="51">
        <f t="shared" ref="C112" si="36">D112/B112</f>
        <v>0</v>
      </c>
      <c r="D112" s="51">
        <f t="shared" ref="D112" si="37">SUM(J112:U112)</f>
        <v>0</v>
      </c>
      <c r="E112" s="49">
        <v>147.86000000000001</v>
      </c>
      <c r="F112" s="49" t="e">
        <f t="shared" ref="F112" si="38">E112/C112</f>
        <v>#DIV/0!</v>
      </c>
      <c r="G112" s="52">
        <f t="shared" ref="G112" si="39">C112/E112</f>
        <v>0</v>
      </c>
      <c r="I112" s="49">
        <v>0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0</v>
      </c>
      <c r="S112" s="49">
        <v>0</v>
      </c>
      <c r="T112" s="49">
        <v>0</v>
      </c>
    </row>
  </sheetData>
  <mergeCells count="2">
    <mergeCell ref="A1:G1"/>
    <mergeCell ref="I1:T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12"/>
  <sheetViews>
    <sheetView zoomScale="80" zoomScaleNormal="80" workbookViewId="0">
      <pane ySplit="1455" topLeftCell="A76" activePane="bottomLeft"/>
      <selection sqref="A1:XFD1048576"/>
      <selection pane="bottomLeft" activeCell="A112" sqref="A112:XFD112"/>
    </sheetView>
  </sheetViews>
  <sheetFormatPr defaultColWidth="9.109375" defaultRowHeight="15.75" customHeight="1" x14ac:dyDescent="0.25"/>
  <cols>
    <col min="1" max="2" width="9.33203125" style="40" bestFit="1" customWidth="1"/>
    <col min="3" max="3" width="9.33203125" style="55" bestFit="1" customWidth="1"/>
    <col min="4" max="4" width="9.5546875" style="55" bestFit="1" customWidth="1"/>
    <col min="5" max="5" width="11" style="56" customWidth="1"/>
    <col min="6" max="6" width="9.33203125" style="56" bestFit="1" customWidth="1"/>
    <col min="7" max="7" width="9.6640625" style="57" bestFit="1" customWidth="1"/>
    <col min="8" max="8" width="9.109375" style="40"/>
    <col min="9" max="9" width="9.33203125" style="56" bestFit="1" customWidth="1"/>
    <col min="10" max="10" width="10" style="56" customWidth="1"/>
    <col min="11" max="16" width="9.33203125" style="56" bestFit="1" customWidth="1"/>
    <col min="17" max="17" width="12.6640625" style="56" customWidth="1"/>
    <col min="18" max="18" width="9.33203125" style="56" bestFit="1" customWidth="1"/>
    <col min="19" max="19" width="11.33203125" style="56" customWidth="1"/>
    <col min="20" max="20" width="11.44140625" style="56" customWidth="1"/>
    <col min="21" max="16384" width="9.109375" style="40"/>
  </cols>
  <sheetData>
    <row r="1" spans="1:20" ht="15" x14ac:dyDescent="0.25">
      <c r="A1" s="120" t="s">
        <v>82</v>
      </c>
      <c r="B1" s="120"/>
      <c r="C1" s="120"/>
      <c r="D1" s="120"/>
      <c r="E1" s="120"/>
      <c r="F1" s="120"/>
      <c r="G1" s="120"/>
      <c r="I1" s="121" t="s">
        <v>14</v>
      </c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48" customFormat="1" ht="60" x14ac:dyDescent="0.25">
      <c r="A2" s="41" t="s">
        <v>0</v>
      </c>
      <c r="B2" s="42" t="s">
        <v>55</v>
      </c>
      <c r="C2" s="43" t="s">
        <v>56</v>
      </c>
      <c r="D2" s="43" t="s">
        <v>15</v>
      </c>
      <c r="E2" s="44" t="s">
        <v>53</v>
      </c>
      <c r="F2" s="44" t="s">
        <v>16</v>
      </c>
      <c r="G2" s="45" t="s">
        <v>54</v>
      </c>
      <c r="I2" s="47" t="s">
        <v>17</v>
      </c>
      <c r="J2" s="47" t="s">
        <v>18</v>
      </c>
      <c r="K2" s="47" t="s">
        <v>19</v>
      </c>
      <c r="L2" s="47" t="s">
        <v>20</v>
      </c>
      <c r="M2" s="47" t="s">
        <v>21</v>
      </c>
      <c r="N2" s="47" t="s">
        <v>22</v>
      </c>
      <c r="O2" s="47" t="s">
        <v>23</v>
      </c>
      <c r="P2" s="47" t="s">
        <v>24</v>
      </c>
      <c r="Q2" s="47" t="s">
        <v>25</v>
      </c>
      <c r="R2" s="47" t="s">
        <v>26</v>
      </c>
      <c r="S2" s="47" t="s">
        <v>27</v>
      </c>
      <c r="T2" s="47" t="s">
        <v>28</v>
      </c>
    </row>
    <row r="3" spans="1:20" s="13" customFormat="1" ht="15.75" customHeight="1" x14ac:dyDescent="0.25">
      <c r="A3" s="9">
        <v>1916</v>
      </c>
      <c r="B3" s="9">
        <v>12</v>
      </c>
      <c r="C3" s="10">
        <f>D3/B3</f>
        <v>409.5</v>
      </c>
      <c r="D3" s="10">
        <f>SUM(I3:T3)</f>
        <v>4914</v>
      </c>
      <c r="E3" s="14">
        <v>3827.51</v>
      </c>
      <c r="F3" s="14">
        <f>E3/C3</f>
        <v>9.3467887667887677</v>
      </c>
      <c r="G3" s="38">
        <f>C3/E3</f>
        <v>0.10698861662020477</v>
      </c>
      <c r="H3" s="39"/>
      <c r="I3" s="14">
        <v>448</v>
      </c>
      <c r="J3" s="14">
        <v>448</v>
      </c>
      <c r="K3" s="14">
        <v>448</v>
      </c>
      <c r="L3" s="14">
        <v>402.9</v>
      </c>
      <c r="M3" s="14">
        <v>374.9</v>
      </c>
      <c r="N3" s="14">
        <v>403.7</v>
      </c>
      <c r="O3" s="14">
        <v>444.3</v>
      </c>
      <c r="P3" s="14">
        <v>420.6</v>
      </c>
      <c r="Q3" s="14">
        <v>389.3</v>
      </c>
      <c r="R3" s="14">
        <v>384.1</v>
      </c>
      <c r="S3" s="14">
        <v>367.3</v>
      </c>
      <c r="T3" s="14">
        <v>382.9</v>
      </c>
    </row>
    <row r="4" spans="1:20" s="13" customFormat="1" ht="15.75" customHeight="1" x14ac:dyDescent="0.25">
      <c r="A4" s="9">
        <v>1917</v>
      </c>
      <c r="B4" s="9">
        <v>12</v>
      </c>
      <c r="C4" s="10">
        <f t="shared" ref="C4:C59" si="0">D4/B4</f>
        <v>341.95000000000005</v>
      </c>
      <c r="D4" s="10">
        <f>SUM(I4:T4)</f>
        <v>4103.4000000000005</v>
      </c>
      <c r="E4" s="14">
        <v>3827.51</v>
      </c>
      <c r="F4" s="14">
        <f t="shared" ref="F4:F59" si="1">E4/C4</f>
        <v>11.193186138324316</v>
      </c>
      <c r="G4" s="38">
        <f t="shared" ref="G4:G59" si="2">C4/E4</f>
        <v>8.9340067040974427E-2</v>
      </c>
      <c r="H4" s="39"/>
      <c r="I4" s="14">
        <v>402.4</v>
      </c>
      <c r="J4" s="14">
        <v>408</v>
      </c>
      <c r="K4" s="14">
        <v>404</v>
      </c>
      <c r="L4" s="14">
        <v>407.8</v>
      </c>
      <c r="M4" s="14">
        <v>399.2</v>
      </c>
      <c r="N4" s="14">
        <v>403</v>
      </c>
      <c r="O4" s="14">
        <v>268.39999999999998</v>
      </c>
      <c r="P4" s="14">
        <v>162.5</v>
      </c>
      <c r="Q4" s="14">
        <v>189</v>
      </c>
      <c r="R4" s="14">
        <v>219.4</v>
      </c>
      <c r="S4" s="14">
        <v>304.60000000000002</v>
      </c>
      <c r="T4" s="14">
        <v>535.1</v>
      </c>
    </row>
    <row r="5" spans="1:20" s="13" customFormat="1" ht="15.75" customHeight="1" x14ac:dyDescent="0.25">
      <c r="A5" s="9">
        <v>1918</v>
      </c>
      <c r="B5" s="9">
        <v>12</v>
      </c>
      <c r="C5" s="10">
        <f t="shared" si="0"/>
        <v>665.16666666666663</v>
      </c>
      <c r="D5" s="10">
        <f t="shared" ref="D5:D58" si="3">SUM(I5:T5)</f>
        <v>7982</v>
      </c>
      <c r="E5" s="14">
        <v>3827.51</v>
      </c>
      <c r="F5" s="14">
        <f t="shared" si="1"/>
        <v>5.7542119769481337</v>
      </c>
      <c r="G5" s="38">
        <f t="shared" si="2"/>
        <v>0.17378574234075589</v>
      </c>
      <c r="H5" s="39"/>
      <c r="I5" s="14">
        <v>569.29999999999995</v>
      </c>
      <c r="J5" s="14">
        <v>572.6</v>
      </c>
      <c r="K5" s="14">
        <v>575</v>
      </c>
      <c r="L5" s="14">
        <v>3909</v>
      </c>
      <c r="M5" s="14">
        <v>306.10000000000002</v>
      </c>
      <c r="N5" s="14">
        <v>308.39999999999998</v>
      </c>
      <c r="O5" s="14">
        <v>453.4</v>
      </c>
      <c r="P5" s="14">
        <v>323.8</v>
      </c>
      <c r="Q5" s="14">
        <v>196.3</v>
      </c>
      <c r="R5" s="14">
        <v>175.1</v>
      </c>
      <c r="S5" s="14">
        <v>239.4</v>
      </c>
      <c r="T5" s="14">
        <v>353.6</v>
      </c>
    </row>
    <row r="6" spans="1:20" s="13" customFormat="1" ht="15.75" customHeight="1" x14ac:dyDescent="0.25">
      <c r="A6" s="9">
        <v>1919</v>
      </c>
      <c r="B6" s="9">
        <v>12</v>
      </c>
      <c r="C6" s="10">
        <f t="shared" si="0"/>
        <v>276.76666666666671</v>
      </c>
      <c r="D6" s="10">
        <f t="shared" si="3"/>
        <v>3321.2000000000003</v>
      </c>
      <c r="E6" s="14">
        <v>3827.51</v>
      </c>
      <c r="F6" s="14">
        <f t="shared" si="1"/>
        <v>13.829374924726002</v>
      </c>
      <c r="G6" s="38">
        <f t="shared" si="2"/>
        <v>7.2309848090969506E-2</v>
      </c>
      <c r="H6" s="39"/>
      <c r="I6" s="14">
        <v>351.7</v>
      </c>
      <c r="J6" s="14">
        <v>350</v>
      </c>
      <c r="K6" s="14">
        <v>366.2</v>
      </c>
      <c r="L6" s="14">
        <v>380.3</v>
      </c>
      <c r="M6" s="14">
        <v>276.2</v>
      </c>
      <c r="N6" s="14">
        <v>231.3</v>
      </c>
      <c r="O6" s="14">
        <v>241.3</v>
      </c>
      <c r="P6" s="14">
        <v>224</v>
      </c>
      <c r="Q6" s="14">
        <v>228.3</v>
      </c>
      <c r="R6" s="14">
        <v>161.4</v>
      </c>
      <c r="S6" s="14">
        <v>250.2</v>
      </c>
      <c r="T6" s="14">
        <v>260.3</v>
      </c>
    </row>
    <row r="7" spans="1:20" s="13" customFormat="1" ht="15.75" customHeight="1" x14ac:dyDescent="0.25">
      <c r="A7" s="9">
        <v>1920</v>
      </c>
      <c r="B7" s="9">
        <v>12</v>
      </c>
      <c r="C7" s="10">
        <f t="shared" si="0"/>
        <v>390.11666666666662</v>
      </c>
      <c r="D7" s="10">
        <f t="shared" si="3"/>
        <v>4681.3999999999996</v>
      </c>
      <c r="E7" s="14">
        <v>3827.51</v>
      </c>
      <c r="F7" s="14">
        <f t="shared" si="1"/>
        <v>9.8111932327936113</v>
      </c>
      <c r="G7" s="38">
        <f t="shared" si="2"/>
        <v>0.10192440167802738</v>
      </c>
      <c r="H7" s="39"/>
      <c r="I7" s="14">
        <v>305</v>
      </c>
      <c r="J7" s="14">
        <v>409</v>
      </c>
      <c r="K7" s="14">
        <v>391.2</v>
      </c>
      <c r="L7" s="14">
        <v>425</v>
      </c>
      <c r="M7" s="14">
        <v>398.9</v>
      </c>
      <c r="N7" s="14">
        <v>375.2</v>
      </c>
      <c r="O7" s="14">
        <v>488.8</v>
      </c>
      <c r="P7" s="14">
        <v>323.39999999999998</v>
      </c>
      <c r="Q7" s="14">
        <v>329.4</v>
      </c>
      <c r="R7" s="14">
        <v>350.4</v>
      </c>
      <c r="S7" s="14">
        <v>427.9</v>
      </c>
      <c r="T7" s="14">
        <v>457.2</v>
      </c>
    </row>
    <row r="8" spans="1:20" s="13" customFormat="1" ht="15.75" customHeight="1" x14ac:dyDescent="0.25">
      <c r="A8" s="9">
        <v>1921</v>
      </c>
      <c r="B8" s="9">
        <v>12</v>
      </c>
      <c r="C8" s="10">
        <f t="shared" si="0"/>
        <v>417.23333333333329</v>
      </c>
      <c r="D8" s="10">
        <f t="shared" si="3"/>
        <v>5006.7999999999993</v>
      </c>
      <c r="E8" s="14">
        <v>3827.51</v>
      </c>
      <c r="F8" s="14">
        <f t="shared" si="1"/>
        <v>9.1735479747543351</v>
      </c>
      <c r="G8" s="38">
        <f t="shared" si="2"/>
        <v>0.10900907726781466</v>
      </c>
      <c r="H8" s="39"/>
      <c r="I8" s="14">
        <v>469.6</v>
      </c>
      <c r="J8" s="14">
        <v>462</v>
      </c>
      <c r="K8" s="14">
        <v>453.3</v>
      </c>
      <c r="L8" s="14">
        <v>462</v>
      </c>
      <c r="M8" s="14">
        <v>462.2</v>
      </c>
      <c r="N8" s="14">
        <v>426.5</v>
      </c>
      <c r="O8" s="14">
        <v>375.1</v>
      </c>
      <c r="P8" s="14">
        <v>360.6</v>
      </c>
      <c r="Q8" s="14">
        <v>379.6</v>
      </c>
      <c r="R8" s="14">
        <v>382.4</v>
      </c>
      <c r="S8" s="14">
        <v>392.1</v>
      </c>
      <c r="T8" s="14">
        <v>381.4</v>
      </c>
    </row>
    <row r="9" spans="1:20" s="13" customFormat="1" ht="15.75" customHeight="1" x14ac:dyDescent="0.25">
      <c r="A9" s="9">
        <v>1922</v>
      </c>
      <c r="B9" s="9">
        <v>12</v>
      </c>
      <c r="C9" s="10">
        <f t="shared" si="0"/>
        <v>431.31666666666666</v>
      </c>
      <c r="D9" s="10">
        <f t="shared" si="3"/>
        <v>5175.8</v>
      </c>
      <c r="E9" s="14">
        <v>3827.51</v>
      </c>
      <c r="F9" s="14">
        <f t="shared" si="1"/>
        <v>8.8740136790447863</v>
      </c>
      <c r="G9" s="38">
        <f t="shared" si="2"/>
        <v>0.11268857995581112</v>
      </c>
      <c r="H9" s="39"/>
      <c r="I9" s="14">
        <v>398</v>
      </c>
      <c r="J9" s="14">
        <v>458.7</v>
      </c>
      <c r="K9" s="14">
        <v>475.7</v>
      </c>
      <c r="L9" s="14">
        <v>547</v>
      </c>
      <c r="M9" s="14">
        <v>492.3</v>
      </c>
      <c r="N9" s="14">
        <v>379.2</v>
      </c>
      <c r="O9" s="14">
        <v>397</v>
      </c>
      <c r="P9" s="14">
        <v>396.9</v>
      </c>
      <c r="Q9" s="14">
        <v>390</v>
      </c>
      <c r="R9" s="14">
        <v>409.1</v>
      </c>
      <c r="S9" s="14">
        <v>420.9</v>
      </c>
      <c r="T9" s="14">
        <v>411</v>
      </c>
    </row>
    <row r="10" spans="1:20" s="13" customFormat="1" ht="15.75" customHeight="1" x14ac:dyDescent="0.25">
      <c r="A10" s="9">
        <v>1923</v>
      </c>
      <c r="B10" s="9">
        <v>12</v>
      </c>
      <c r="C10" s="10">
        <f t="shared" si="0"/>
        <v>435.44166666666666</v>
      </c>
      <c r="D10" s="10">
        <f t="shared" si="3"/>
        <v>5225.3</v>
      </c>
      <c r="E10" s="14">
        <v>3827.51</v>
      </c>
      <c r="F10" s="14">
        <f t="shared" si="1"/>
        <v>8.7899489024553628</v>
      </c>
      <c r="G10" s="38">
        <f t="shared" si="2"/>
        <v>0.11376630411590476</v>
      </c>
      <c r="H10" s="39"/>
      <c r="I10" s="14">
        <v>417.6</v>
      </c>
      <c r="J10" s="14">
        <v>421</v>
      </c>
      <c r="K10" s="14">
        <v>417.8</v>
      </c>
      <c r="L10" s="14">
        <v>470</v>
      </c>
      <c r="M10" s="14">
        <v>467.8</v>
      </c>
      <c r="N10" s="14">
        <v>456.6</v>
      </c>
      <c r="O10" s="14">
        <v>439.6</v>
      </c>
      <c r="P10" s="14">
        <v>444.9</v>
      </c>
      <c r="Q10" s="14">
        <v>444.2</v>
      </c>
      <c r="R10" s="14">
        <v>403.8</v>
      </c>
      <c r="S10" s="14">
        <v>421</v>
      </c>
      <c r="T10" s="14">
        <v>421</v>
      </c>
    </row>
    <row r="11" spans="1:20" s="13" customFormat="1" ht="15.75" customHeight="1" x14ac:dyDescent="0.25">
      <c r="A11" s="9">
        <v>1924</v>
      </c>
      <c r="B11" s="9">
        <v>12</v>
      </c>
      <c r="C11" s="10">
        <f t="shared" si="0"/>
        <v>356.4666666666667</v>
      </c>
      <c r="D11" s="10">
        <f t="shared" si="3"/>
        <v>4277.6000000000004</v>
      </c>
      <c r="E11" s="14">
        <v>3827.51</v>
      </c>
      <c r="F11" s="14">
        <f t="shared" si="1"/>
        <v>10.73735739667103</v>
      </c>
      <c r="G11" s="38">
        <f t="shared" si="2"/>
        <v>9.3132785196293852E-2</v>
      </c>
      <c r="H11" s="39"/>
      <c r="I11" s="14">
        <v>421</v>
      </c>
      <c r="J11" s="14">
        <v>428.8</v>
      </c>
      <c r="K11" s="14">
        <v>453.2</v>
      </c>
      <c r="L11" s="14">
        <v>480.8</v>
      </c>
      <c r="M11" s="14">
        <v>488.7</v>
      </c>
      <c r="N11" s="14">
        <v>494</v>
      </c>
      <c r="O11" s="14">
        <v>276.5</v>
      </c>
      <c r="P11" s="14">
        <v>265.39999999999998</v>
      </c>
      <c r="Q11" s="14">
        <v>267</v>
      </c>
      <c r="R11" s="14">
        <v>264.39999999999998</v>
      </c>
      <c r="S11" s="14">
        <v>221.8</v>
      </c>
      <c r="T11" s="14">
        <v>216</v>
      </c>
    </row>
    <row r="12" spans="1:20" s="13" customFormat="1" ht="15.75" customHeight="1" x14ac:dyDescent="0.25">
      <c r="A12" s="9">
        <v>1925</v>
      </c>
      <c r="B12" s="9">
        <v>12</v>
      </c>
      <c r="C12" s="10">
        <f t="shared" si="0"/>
        <v>354.72499999999997</v>
      </c>
      <c r="D12" s="10">
        <f t="shared" si="3"/>
        <v>4256.7</v>
      </c>
      <c r="E12" s="14">
        <v>3827.51</v>
      </c>
      <c r="F12" s="14">
        <f t="shared" si="1"/>
        <v>10.790076820071889</v>
      </c>
      <c r="G12" s="38">
        <f t="shared" si="2"/>
        <v>9.2677746106476513E-2</v>
      </c>
      <c r="H12" s="39"/>
      <c r="I12" s="14">
        <v>218.1</v>
      </c>
      <c r="J12" s="14">
        <v>218.2</v>
      </c>
      <c r="K12" s="14">
        <v>218</v>
      </c>
      <c r="L12" s="14">
        <v>232.9</v>
      </c>
      <c r="M12" s="14">
        <v>223.8</v>
      </c>
      <c r="N12" s="14">
        <v>213.3</v>
      </c>
      <c r="O12" s="14">
        <v>463.8</v>
      </c>
      <c r="P12" s="14">
        <v>412</v>
      </c>
      <c r="Q12" s="14">
        <v>430.4</v>
      </c>
      <c r="R12" s="14">
        <v>519.1</v>
      </c>
      <c r="S12" s="14">
        <v>572</v>
      </c>
      <c r="T12" s="14">
        <v>535.1</v>
      </c>
    </row>
    <row r="13" spans="1:20" s="13" customFormat="1" ht="15.75" customHeight="1" x14ac:dyDescent="0.25">
      <c r="A13" s="9">
        <v>1926</v>
      </c>
      <c r="B13" s="9">
        <v>12</v>
      </c>
      <c r="C13" s="10">
        <f t="shared" si="0"/>
        <v>546.40833333333342</v>
      </c>
      <c r="D13" s="10">
        <f t="shared" si="3"/>
        <v>6556.9000000000005</v>
      </c>
      <c r="E13" s="14">
        <v>3827.51</v>
      </c>
      <c r="F13" s="14">
        <f t="shared" si="1"/>
        <v>7.0048529030486959</v>
      </c>
      <c r="G13" s="38">
        <f t="shared" si="2"/>
        <v>0.14275817263268636</v>
      </c>
      <c r="H13" s="39"/>
      <c r="I13" s="14">
        <v>552.1</v>
      </c>
      <c r="J13" s="14">
        <v>639</v>
      </c>
      <c r="K13" s="14">
        <v>639</v>
      </c>
      <c r="L13" s="14">
        <v>619.70000000000005</v>
      </c>
      <c r="M13" s="14">
        <v>599.20000000000005</v>
      </c>
      <c r="N13" s="14">
        <v>590.29999999999995</v>
      </c>
      <c r="O13" s="14">
        <v>604.5</v>
      </c>
      <c r="P13" s="14">
        <v>471.5</v>
      </c>
      <c r="Q13" s="14">
        <v>450</v>
      </c>
      <c r="R13" s="14">
        <v>444.5</v>
      </c>
      <c r="S13" s="14">
        <v>459.1</v>
      </c>
      <c r="T13" s="14">
        <v>488</v>
      </c>
    </row>
    <row r="14" spans="1:20" s="13" customFormat="1" ht="15.75" customHeight="1" x14ac:dyDescent="0.25">
      <c r="A14" s="9">
        <v>1927</v>
      </c>
      <c r="B14" s="9">
        <v>12</v>
      </c>
      <c r="C14" s="10">
        <f t="shared" si="0"/>
        <v>473.07499999999999</v>
      </c>
      <c r="D14" s="10">
        <f t="shared" si="3"/>
        <v>5676.9</v>
      </c>
      <c r="E14" s="14">
        <v>3827.51</v>
      </c>
      <c r="F14" s="14">
        <f t="shared" si="1"/>
        <v>8.0907044337578622</v>
      </c>
      <c r="G14" s="38">
        <f t="shared" si="2"/>
        <v>0.12359863200879945</v>
      </c>
      <c r="H14" s="39"/>
      <c r="I14" s="14">
        <v>501</v>
      </c>
      <c r="J14" s="14">
        <v>684.8</v>
      </c>
      <c r="K14" s="14">
        <v>615</v>
      </c>
      <c r="L14" s="14">
        <v>536.9</v>
      </c>
      <c r="M14" s="14">
        <v>491.9</v>
      </c>
      <c r="N14" s="14">
        <v>490.5</v>
      </c>
      <c r="O14" s="14">
        <v>422.5</v>
      </c>
      <c r="P14" s="14">
        <v>380.3</v>
      </c>
      <c r="Q14" s="14">
        <v>361.6</v>
      </c>
      <c r="R14" s="14">
        <v>432.9</v>
      </c>
      <c r="S14" s="14">
        <v>427.1</v>
      </c>
      <c r="T14" s="14">
        <v>332.4</v>
      </c>
    </row>
    <row r="15" spans="1:20" s="13" customFormat="1" ht="15.75" customHeight="1" x14ac:dyDescent="0.25">
      <c r="A15" s="9">
        <v>1928</v>
      </c>
      <c r="B15" s="9">
        <v>12</v>
      </c>
      <c r="C15" s="10">
        <f t="shared" si="0"/>
        <v>302.95833333333331</v>
      </c>
      <c r="D15" s="10">
        <f t="shared" si="3"/>
        <v>3635.4999999999995</v>
      </c>
      <c r="E15" s="14">
        <v>3827.51</v>
      </c>
      <c r="F15" s="14">
        <f t="shared" si="1"/>
        <v>12.633783523586853</v>
      </c>
      <c r="G15" s="38">
        <f t="shared" si="2"/>
        <v>7.9152852202432733E-2</v>
      </c>
      <c r="H15" s="39"/>
      <c r="I15" s="14">
        <v>345.4</v>
      </c>
      <c r="J15" s="14">
        <v>347</v>
      </c>
      <c r="K15" s="14">
        <v>347</v>
      </c>
      <c r="L15" s="14">
        <v>340.1</v>
      </c>
      <c r="M15" s="14">
        <v>347</v>
      </c>
      <c r="N15" s="14">
        <v>337.2</v>
      </c>
      <c r="O15" s="14">
        <v>332.3</v>
      </c>
      <c r="P15" s="14">
        <v>335.5</v>
      </c>
      <c r="Q15" s="14">
        <v>336.9</v>
      </c>
      <c r="R15" s="14">
        <v>254.2</v>
      </c>
      <c r="S15" s="14">
        <v>129.69999999999999</v>
      </c>
      <c r="T15" s="14">
        <v>183.2</v>
      </c>
    </row>
    <row r="16" spans="1:20" s="13" customFormat="1" ht="15.75" customHeight="1" x14ac:dyDescent="0.25">
      <c r="A16" s="9">
        <v>1929</v>
      </c>
      <c r="B16" s="9">
        <v>12</v>
      </c>
      <c r="C16" s="10">
        <f t="shared" si="0"/>
        <v>220.81666666666663</v>
      </c>
      <c r="D16" s="10">
        <f t="shared" si="3"/>
        <v>2649.7999999999997</v>
      </c>
      <c r="E16" s="14">
        <v>3827.51</v>
      </c>
      <c r="F16" s="14">
        <f t="shared" si="1"/>
        <v>17.333428938033062</v>
      </c>
      <c r="G16" s="38">
        <f t="shared" si="2"/>
        <v>5.769198948315396E-2</v>
      </c>
      <c r="H16" s="39"/>
      <c r="I16" s="14">
        <v>201.4</v>
      </c>
      <c r="J16" s="14">
        <v>133</v>
      </c>
      <c r="K16" s="14">
        <v>168.3</v>
      </c>
      <c r="L16" s="14">
        <v>193.9</v>
      </c>
      <c r="M16" s="14">
        <v>174.7</v>
      </c>
      <c r="N16" s="14">
        <v>183</v>
      </c>
      <c r="O16" s="14">
        <v>240.1</v>
      </c>
      <c r="P16" s="14">
        <v>290.89999999999998</v>
      </c>
      <c r="Q16" s="14">
        <v>301</v>
      </c>
      <c r="R16" s="14">
        <v>290.7</v>
      </c>
      <c r="S16" s="14">
        <v>200.8</v>
      </c>
      <c r="T16" s="14">
        <v>272</v>
      </c>
    </row>
    <row r="17" spans="1:20" s="13" customFormat="1" ht="15.75" customHeight="1" x14ac:dyDescent="0.25">
      <c r="A17" s="9">
        <v>1930</v>
      </c>
      <c r="B17" s="9">
        <v>12</v>
      </c>
      <c r="C17" s="10">
        <f t="shared" si="0"/>
        <v>295.75833333333333</v>
      </c>
      <c r="D17" s="10">
        <f t="shared" si="3"/>
        <v>3549.1</v>
      </c>
      <c r="E17" s="14">
        <v>3827.51</v>
      </c>
      <c r="F17" s="14">
        <f t="shared" si="1"/>
        <v>12.941342875658618</v>
      </c>
      <c r="G17" s="38">
        <f t="shared" si="2"/>
        <v>7.7271733668451109E-2</v>
      </c>
      <c r="H17" s="39"/>
      <c r="I17" s="14">
        <v>276.10000000000002</v>
      </c>
      <c r="J17" s="14">
        <v>314</v>
      </c>
      <c r="K17" s="14">
        <v>326</v>
      </c>
      <c r="L17" s="14">
        <v>326</v>
      </c>
      <c r="M17" s="14">
        <v>326</v>
      </c>
      <c r="N17" s="14">
        <v>319.39999999999998</v>
      </c>
      <c r="O17" s="14">
        <v>310.5</v>
      </c>
      <c r="P17" s="14">
        <v>308</v>
      </c>
      <c r="Q17" s="14">
        <v>308</v>
      </c>
      <c r="R17" s="14">
        <v>271.89999999999998</v>
      </c>
      <c r="S17" s="14">
        <v>225.2</v>
      </c>
      <c r="T17" s="14">
        <v>238</v>
      </c>
    </row>
    <row r="18" spans="1:20" s="13" customFormat="1" ht="15.75" customHeight="1" x14ac:dyDescent="0.25">
      <c r="A18" s="9">
        <v>1931</v>
      </c>
      <c r="B18" s="9">
        <v>12</v>
      </c>
      <c r="C18" s="10">
        <f t="shared" si="0"/>
        <v>304.45</v>
      </c>
      <c r="D18" s="10">
        <f t="shared" si="3"/>
        <v>3653.4</v>
      </c>
      <c r="E18" s="14">
        <v>3827.51</v>
      </c>
      <c r="F18" s="14">
        <f t="shared" si="1"/>
        <v>12.571883724749549</v>
      </c>
      <c r="G18" s="38">
        <f t="shared" si="2"/>
        <v>7.9542574676486788E-2</v>
      </c>
      <c r="H18" s="39"/>
      <c r="I18" s="14">
        <v>266.5</v>
      </c>
      <c r="J18" s="14">
        <v>290</v>
      </c>
      <c r="K18" s="14">
        <v>297.10000000000002</v>
      </c>
      <c r="L18" s="14">
        <v>297.39999999999998</v>
      </c>
      <c r="M18" s="14">
        <v>296.2</v>
      </c>
      <c r="N18" s="14">
        <v>311</v>
      </c>
      <c r="O18" s="14">
        <v>318.2</v>
      </c>
      <c r="P18" s="14">
        <v>324</v>
      </c>
      <c r="Q18" s="14">
        <v>335</v>
      </c>
      <c r="R18" s="14">
        <v>305.10000000000002</v>
      </c>
      <c r="S18" s="14">
        <v>288.89999999999998</v>
      </c>
      <c r="T18" s="14">
        <v>324</v>
      </c>
    </row>
    <row r="19" spans="1:20" s="13" customFormat="1" ht="15.75" customHeight="1" x14ac:dyDescent="0.25">
      <c r="A19" s="9">
        <v>1932</v>
      </c>
      <c r="B19" s="9">
        <v>12</v>
      </c>
      <c r="C19" s="10">
        <f t="shared" si="0"/>
        <v>321.35833333333329</v>
      </c>
      <c r="D19" s="10">
        <f t="shared" si="3"/>
        <v>3856.2999999999997</v>
      </c>
      <c r="E19" s="14">
        <v>3827.51</v>
      </c>
      <c r="F19" s="14">
        <f t="shared" si="1"/>
        <v>11.910411534372328</v>
      </c>
      <c r="G19" s="38">
        <f t="shared" si="2"/>
        <v>8.3960155122607988E-2</v>
      </c>
      <c r="H19" s="39"/>
      <c r="I19" s="14">
        <v>324</v>
      </c>
      <c r="J19" s="14">
        <v>324</v>
      </c>
      <c r="K19" s="14">
        <v>324</v>
      </c>
      <c r="L19" s="14">
        <v>305.3</v>
      </c>
      <c r="M19" s="14">
        <v>327.3</v>
      </c>
      <c r="N19" s="14">
        <v>326</v>
      </c>
      <c r="O19" s="14">
        <v>344.6</v>
      </c>
      <c r="P19" s="14">
        <v>355</v>
      </c>
      <c r="Q19" s="14">
        <v>355</v>
      </c>
      <c r="R19" s="14">
        <v>339</v>
      </c>
      <c r="S19" s="14">
        <v>246.1</v>
      </c>
      <c r="T19" s="14">
        <v>286</v>
      </c>
    </row>
    <row r="20" spans="1:20" s="13" customFormat="1" ht="15.75" customHeight="1" x14ac:dyDescent="0.25">
      <c r="A20" s="9">
        <v>1933</v>
      </c>
      <c r="B20" s="9">
        <v>12</v>
      </c>
      <c r="C20" s="10">
        <f t="shared" si="0"/>
        <v>304.34999999999997</v>
      </c>
      <c r="D20" s="10">
        <f t="shared" si="3"/>
        <v>3652.2</v>
      </c>
      <c r="E20" s="14">
        <v>3827.51</v>
      </c>
      <c r="F20" s="14">
        <f t="shared" si="1"/>
        <v>12.576014457039594</v>
      </c>
      <c r="G20" s="38">
        <f t="shared" si="2"/>
        <v>7.9516448030181486E-2</v>
      </c>
      <c r="H20" s="39"/>
      <c r="I20" s="14">
        <v>301</v>
      </c>
      <c r="J20" s="14">
        <v>301</v>
      </c>
      <c r="K20" s="14">
        <v>285.3</v>
      </c>
      <c r="L20" s="14">
        <v>308.89999999999998</v>
      </c>
      <c r="M20" s="14">
        <v>319</v>
      </c>
      <c r="N20" s="14">
        <v>319</v>
      </c>
      <c r="O20" s="14">
        <v>341</v>
      </c>
      <c r="P20" s="14">
        <v>341</v>
      </c>
      <c r="Q20" s="14">
        <v>341</v>
      </c>
      <c r="R20" s="14">
        <v>290.10000000000002</v>
      </c>
      <c r="S20" s="14">
        <v>252.9</v>
      </c>
      <c r="T20" s="14">
        <v>252</v>
      </c>
    </row>
    <row r="21" spans="1:20" s="13" customFormat="1" ht="15.75" customHeight="1" x14ac:dyDescent="0.25">
      <c r="A21" s="9">
        <v>1934</v>
      </c>
      <c r="B21" s="9">
        <v>12</v>
      </c>
      <c r="C21" s="10">
        <f t="shared" si="0"/>
        <v>231.22499999999999</v>
      </c>
      <c r="D21" s="10">
        <f t="shared" si="3"/>
        <v>2774.7</v>
      </c>
      <c r="E21" s="14">
        <v>3827.51</v>
      </c>
      <c r="F21" s="14">
        <f t="shared" si="1"/>
        <v>16.553184128013839</v>
      </c>
      <c r="G21" s="38">
        <f t="shared" si="2"/>
        <v>6.0411337919430645E-2</v>
      </c>
      <c r="H21" s="39"/>
      <c r="I21" s="14">
        <v>262</v>
      </c>
      <c r="J21" s="14">
        <v>227</v>
      </c>
      <c r="K21" s="14">
        <v>227</v>
      </c>
      <c r="L21" s="14">
        <v>243</v>
      </c>
      <c r="M21" s="14">
        <v>238</v>
      </c>
      <c r="N21" s="14">
        <v>237.3</v>
      </c>
      <c r="O21" s="14">
        <v>242.3</v>
      </c>
      <c r="P21" s="14">
        <v>249</v>
      </c>
      <c r="Q21" s="14">
        <v>249</v>
      </c>
      <c r="R21" s="14">
        <v>173.4</v>
      </c>
      <c r="S21" s="14">
        <v>196.2</v>
      </c>
      <c r="T21" s="14">
        <v>230.5</v>
      </c>
    </row>
    <row r="22" spans="1:20" s="13" customFormat="1" ht="15.75" customHeight="1" x14ac:dyDescent="0.25">
      <c r="A22" s="9">
        <v>1935</v>
      </c>
      <c r="B22" s="9">
        <v>12</v>
      </c>
      <c r="C22" s="10">
        <f t="shared" si="0"/>
        <v>262.24166666666662</v>
      </c>
      <c r="D22" s="10">
        <f t="shared" si="3"/>
        <v>3146.8999999999996</v>
      </c>
      <c r="E22" s="14">
        <v>3827.51</v>
      </c>
      <c r="F22" s="14">
        <f t="shared" si="1"/>
        <v>14.595354158060317</v>
      </c>
      <c r="G22" s="38">
        <f t="shared" si="2"/>
        <v>6.8514952715124616E-2</v>
      </c>
      <c r="H22" s="39"/>
      <c r="I22" s="14">
        <v>244</v>
      </c>
      <c r="J22" s="14">
        <v>244</v>
      </c>
      <c r="K22" s="14">
        <v>244</v>
      </c>
      <c r="L22" s="14">
        <v>244</v>
      </c>
      <c r="M22" s="14">
        <v>244</v>
      </c>
      <c r="N22" s="14">
        <v>276.7</v>
      </c>
      <c r="O22" s="14">
        <v>340</v>
      </c>
      <c r="P22" s="14">
        <v>321.5</v>
      </c>
      <c r="Q22" s="14">
        <v>288</v>
      </c>
      <c r="R22" s="14">
        <v>276.7</v>
      </c>
      <c r="S22" s="14">
        <v>209</v>
      </c>
      <c r="T22" s="14">
        <v>215</v>
      </c>
    </row>
    <row r="23" spans="1:20" s="13" customFormat="1" ht="15.75" customHeight="1" x14ac:dyDescent="0.25">
      <c r="A23" s="9">
        <v>1936</v>
      </c>
      <c r="B23" s="9">
        <v>12</v>
      </c>
      <c r="C23" s="10">
        <f t="shared" si="0"/>
        <v>228.82500000000002</v>
      </c>
      <c r="D23" s="10">
        <f t="shared" si="3"/>
        <v>2745.9</v>
      </c>
      <c r="E23" s="14">
        <v>3827.51</v>
      </c>
      <c r="F23" s="14">
        <f t="shared" si="1"/>
        <v>16.726799956298482</v>
      </c>
      <c r="G23" s="38">
        <f t="shared" si="2"/>
        <v>5.978429840810344E-2</v>
      </c>
      <c r="H23" s="39"/>
      <c r="I23" s="14">
        <v>215</v>
      </c>
      <c r="J23" s="14">
        <v>215</v>
      </c>
      <c r="K23" s="14">
        <v>228.2</v>
      </c>
      <c r="L23" s="14">
        <v>239</v>
      </c>
      <c r="M23" s="14">
        <v>239</v>
      </c>
      <c r="N23" s="14">
        <v>239</v>
      </c>
      <c r="O23" s="14">
        <v>235.7</v>
      </c>
      <c r="P23" s="14">
        <v>233</v>
      </c>
      <c r="Q23" s="14">
        <v>233</v>
      </c>
      <c r="R23" s="14">
        <v>212.8</v>
      </c>
      <c r="S23" s="14">
        <v>217.2</v>
      </c>
      <c r="T23" s="14">
        <v>239</v>
      </c>
    </row>
    <row r="24" spans="1:20" s="13" customFormat="1" ht="15.75" customHeight="1" x14ac:dyDescent="0.25">
      <c r="A24" s="9">
        <v>1937</v>
      </c>
      <c r="B24" s="9">
        <v>12</v>
      </c>
      <c r="C24" s="10">
        <f t="shared" si="0"/>
        <v>228.96666666666667</v>
      </c>
      <c r="D24" s="10">
        <f t="shared" si="3"/>
        <v>2747.6</v>
      </c>
      <c r="E24" s="14">
        <v>3827.51</v>
      </c>
      <c r="F24" s="14">
        <f t="shared" si="1"/>
        <v>16.716450720628913</v>
      </c>
      <c r="G24" s="38">
        <f t="shared" si="2"/>
        <v>5.9821311157035949E-2</v>
      </c>
      <c r="H24" s="39"/>
      <c r="I24" s="14">
        <v>239</v>
      </c>
      <c r="J24" s="14">
        <v>239</v>
      </c>
      <c r="K24" s="14">
        <v>239</v>
      </c>
      <c r="L24" s="14">
        <v>239</v>
      </c>
      <c r="M24" s="14">
        <v>239</v>
      </c>
      <c r="N24" s="14">
        <v>239</v>
      </c>
      <c r="O24" s="14">
        <v>239</v>
      </c>
      <c r="P24" s="14">
        <v>239</v>
      </c>
      <c r="Q24" s="14">
        <v>239</v>
      </c>
      <c r="R24" s="14">
        <v>239</v>
      </c>
      <c r="S24" s="14">
        <v>181.6</v>
      </c>
      <c r="T24" s="14">
        <v>176</v>
      </c>
    </row>
    <row r="25" spans="1:20" s="13" customFormat="1" ht="15.75" customHeight="1" x14ac:dyDescent="0.25">
      <c r="A25" s="9">
        <v>1938</v>
      </c>
      <c r="B25" s="9">
        <v>12</v>
      </c>
      <c r="C25" s="10">
        <f t="shared" si="0"/>
        <v>182.7833333333333</v>
      </c>
      <c r="D25" s="10">
        <f t="shared" si="3"/>
        <v>2193.3999999999996</v>
      </c>
      <c r="E25" s="14">
        <v>3827.51</v>
      </c>
      <c r="F25" s="14">
        <f t="shared" si="1"/>
        <v>20.9401477158749</v>
      </c>
      <c r="G25" s="38">
        <f t="shared" si="2"/>
        <v>4.7755155005038075E-2</v>
      </c>
      <c r="H25" s="39"/>
      <c r="I25" s="14">
        <v>176</v>
      </c>
      <c r="J25" s="14">
        <v>176</v>
      </c>
      <c r="K25" s="14">
        <v>176</v>
      </c>
      <c r="L25" s="14">
        <v>176</v>
      </c>
      <c r="M25" s="14">
        <v>174.5</v>
      </c>
      <c r="N25" s="14">
        <v>174</v>
      </c>
      <c r="O25" s="14">
        <v>181.6</v>
      </c>
      <c r="P25" s="14">
        <v>195</v>
      </c>
      <c r="Q25" s="14">
        <v>195</v>
      </c>
      <c r="R25" s="14">
        <v>195</v>
      </c>
      <c r="S25" s="14">
        <v>189.3</v>
      </c>
      <c r="T25" s="14">
        <v>185</v>
      </c>
    </row>
    <row r="26" spans="1:20" s="13" customFormat="1" ht="15.75" customHeight="1" x14ac:dyDescent="0.25">
      <c r="A26" s="9">
        <v>1939</v>
      </c>
      <c r="B26" s="9">
        <v>12</v>
      </c>
      <c r="C26" s="10">
        <f t="shared" si="0"/>
        <v>193.33333333333334</v>
      </c>
      <c r="D26" s="10">
        <f t="shared" si="3"/>
        <v>2320</v>
      </c>
      <c r="E26" s="14">
        <v>3827.51</v>
      </c>
      <c r="F26" s="14">
        <f t="shared" si="1"/>
        <v>19.797465517241381</v>
      </c>
      <c r="G26" s="38">
        <f t="shared" si="2"/>
        <v>5.0511516190247269E-2</v>
      </c>
      <c r="H26" s="39"/>
      <c r="I26" s="14">
        <v>185</v>
      </c>
      <c r="J26" s="14">
        <v>185</v>
      </c>
      <c r="K26" s="14">
        <v>192.1</v>
      </c>
      <c r="L26" s="14">
        <v>204.1</v>
      </c>
      <c r="M26" s="14">
        <v>205</v>
      </c>
      <c r="N26" s="14">
        <v>205</v>
      </c>
      <c r="O26" s="14">
        <v>207.5</v>
      </c>
      <c r="P26" s="14">
        <v>207</v>
      </c>
      <c r="Q26" s="14">
        <v>207</v>
      </c>
      <c r="R26" s="14">
        <v>207</v>
      </c>
      <c r="S26" s="14">
        <v>156.9</v>
      </c>
      <c r="T26" s="14">
        <v>158.4</v>
      </c>
    </row>
    <row r="27" spans="1:20" s="13" customFormat="1" ht="15.75" customHeight="1" x14ac:dyDescent="0.25">
      <c r="A27" s="9">
        <v>1940</v>
      </c>
      <c r="B27" s="9">
        <v>12</v>
      </c>
      <c r="C27" s="10">
        <f t="shared" si="0"/>
        <v>122.97500000000001</v>
      </c>
      <c r="D27" s="10">
        <f t="shared" si="3"/>
        <v>1475.7</v>
      </c>
      <c r="E27" s="14">
        <v>3827.51</v>
      </c>
      <c r="F27" s="14">
        <f t="shared" si="1"/>
        <v>31.124293555600733</v>
      </c>
      <c r="G27" s="38">
        <f t="shared" si="2"/>
        <v>3.2129243293943059E-2</v>
      </c>
      <c r="H27" s="39"/>
      <c r="I27" s="14">
        <v>116</v>
      </c>
      <c r="J27" s="14">
        <v>119</v>
      </c>
      <c r="K27" s="14">
        <v>125.5</v>
      </c>
      <c r="L27" s="14">
        <v>130.30000000000001</v>
      </c>
      <c r="M27" s="14">
        <v>131</v>
      </c>
      <c r="N27" s="14">
        <v>131</v>
      </c>
      <c r="O27" s="14">
        <v>131</v>
      </c>
      <c r="P27" s="14">
        <v>131</v>
      </c>
      <c r="Q27" s="14">
        <v>131</v>
      </c>
      <c r="R27" s="14">
        <v>121.5</v>
      </c>
      <c r="S27" s="14">
        <v>70.400000000000006</v>
      </c>
      <c r="T27" s="14">
        <v>138</v>
      </c>
    </row>
    <row r="28" spans="1:20" s="13" customFormat="1" ht="15.75" customHeight="1" x14ac:dyDescent="0.25">
      <c r="A28" s="9">
        <v>1941</v>
      </c>
      <c r="B28" s="9">
        <v>12</v>
      </c>
      <c r="C28" s="10">
        <f t="shared" si="0"/>
        <v>129.44999999999999</v>
      </c>
      <c r="D28" s="10">
        <f t="shared" si="3"/>
        <v>1553.3999999999999</v>
      </c>
      <c r="E28" s="14">
        <v>3827.51</v>
      </c>
      <c r="F28" s="14">
        <f t="shared" si="1"/>
        <v>29.567477790652767</v>
      </c>
      <c r="G28" s="38">
        <f t="shared" si="2"/>
        <v>3.3820943642211249E-2</v>
      </c>
      <c r="H28" s="39"/>
      <c r="I28" s="14">
        <v>138</v>
      </c>
      <c r="J28" s="14">
        <v>138</v>
      </c>
      <c r="K28" s="14">
        <v>140.1</v>
      </c>
      <c r="L28" s="14">
        <v>146</v>
      </c>
      <c r="M28" s="14">
        <v>146</v>
      </c>
      <c r="N28" s="14">
        <v>145.5</v>
      </c>
      <c r="O28" s="14">
        <v>142</v>
      </c>
      <c r="P28" s="14">
        <v>139</v>
      </c>
      <c r="Q28" s="14">
        <v>140.69999999999999</v>
      </c>
      <c r="R28" s="14">
        <v>91.5</v>
      </c>
      <c r="S28" s="14">
        <v>58.5</v>
      </c>
      <c r="T28" s="14">
        <v>128.1</v>
      </c>
    </row>
    <row r="29" spans="1:20" s="13" customFormat="1" ht="15.75" customHeight="1" x14ac:dyDescent="0.25">
      <c r="A29" s="9">
        <v>1942</v>
      </c>
      <c r="B29" s="9">
        <v>12</v>
      </c>
      <c r="C29" s="10">
        <f t="shared" si="0"/>
        <v>136.39166666666668</v>
      </c>
      <c r="D29" s="10">
        <f t="shared" si="3"/>
        <v>1636.7</v>
      </c>
      <c r="E29" s="14">
        <v>3827.51</v>
      </c>
      <c r="F29" s="14">
        <f t="shared" si="1"/>
        <v>28.06263823547382</v>
      </c>
      <c r="G29" s="38">
        <f t="shared" si="2"/>
        <v>3.5634568339904187E-2</v>
      </c>
      <c r="H29" s="39"/>
      <c r="I29" s="14">
        <v>131</v>
      </c>
      <c r="J29" s="14">
        <v>131</v>
      </c>
      <c r="K29" s="14">
        <v>142</v>
      </c>
      <c r="L29" s="14">
        <v>156.19999999999999</v>
      </c>
      <c r="M29" s="14">
        <v>155</v>
      </c>
      <c r="N29" s="14">
        <v>155</v>
      </c>
      <c r="O29" s="14">
        <v>154.4</v>
      </c>
      <c r="P29" s="14">
        <v>154</v>
      </c>
      <c r="Q29" s="14">
        <v>154</v>
      </c>
      <c r="R29" s="14">
        <v>70.8</v>
      </c>
      <c r="S29" s="14">
        <v>99</v>
      </c>
      <c r="T29" s="14">
        <v>134.30000000000001</v>
      </c>
    </row>
    <row r="30" spans="1:20" s="13" customFormat="1" ht="15.75" customHeight="1" x14ac:dyDescent="0.25">
      <c r="A30" s="9">
        <v>1943</v>
      </c>
      <c r="B30" s="9">
        <v>12</v>
      </c>
      <c r="C30" s="10">
        <f t="shared" si="0"/>
        <v>132.44999999999999</v>
      </c>
      <c r="D30" s="10">
        <f t="shared" si="3"/>
        <v>1589.3999999999999</v>
      </c>
      <c r="E30" s="14">
        <v>3827.51</v>
      </c>
      <c r="F30" s="14">
        <f t="shared" si="1"/>
        <v>28.897772744431865</v>
      </c>
      <c r="G30" s="38">
        <f t="shared" si="2"/>
        <v>3.4604743031370261E-2</v>
      </c>
      <c r="H30" s="39"/>
      <c r="I30" s="14">
        <v>134</v>
      </c>
      <c r="J30" s="14">
        <v>134</v>
      </c>
      <c r="K30" s="14">
        <v>141.19999999999999</v>
      </c>
      <c r="L30" s="14">
        <v>142</v>
      </c>
      <c r="M30" s="14">
        <v>142</v>
      </c>
      <c r="N30" s="14">
        <v>142</v>
      </c>
      <c r="O30" s="14">
        <v>142</v>
      </c>
      <c r="P30" s="14">
        <v>140</v>
      </c>
      <c r="Q30" s="14">
        <v>151.6</v>
      </c>
      <c r="R30" s="14">
        <v>82.5</v>
      </c>
      <c r="S30" s="14">
        <v>112.5</v>
      </c>
      <c r="T30" s="14">
        <v>125.6</v>
      </c>
    </row>
    <row r="31" spans="1:20" s="13" customFormat="1" ht="15.75" customHeight="1" x14ac:dyDescent="0.25">
      <c r="A31" s="9">
        <v>1944</v>
      </c>
      <c r="B31" s="9">
        <v>12</v>
      </c>
      <c r="C31" s="10">
        <f t="shared" si="0"/>
        <v>131.48333333333335</v>
      </c>
      <c r="D31" s="10">
        <f t="shared" si="3"/>
        <v>1577.8000000000002</v>
      </c>
      <c r="E31" s="14">
        <v>3827.51</v>
      </c>
      <c r="F31" s="14">
        <f t="shared" si="1"/>
        <v>29.110229433388259</v>
      </c>
      <c r="G31" s="38">
        <f t="shared" si="2"/>
        <v>3.4352185450419029E-2</v>
      </c>
      <c r="H31" s="39"/>
      <c r="I31" s="14">
        <v>127</v>
      </c>
      <c r="J31" s="14">
        <v>129</v>
      </c>
      <c r="K31" s="14">
        <v>136.1</v>
      </c>
      <c r="L31" s="14">
        <v>139</v>
      </c>
      <c r="M31" s="14">
        <v>139</v>
      </c>
      <c r="N31" s="14">
        <v>139</v>
      </c>
      <c r="O31" s="14">
        <v>138.80000000000001</v>
      </c>
      <c r="P31" s="14">
        <v>139</v>
      </c>
      <c r="Q31" s="14">
        <v>133.4</v>
      </c>
      <c r="R31" s="14">
        <v>126.1</v>
      </c>
      <c r="S31" s="14">
        <v>101.4</v>
      </c>
      <c r="T31" s="14">
        <v>130</v>
      </c>
    </row>
    <row r="32" spans="1:20" s="13" customFormat="1" ht="15.75" customHeight="1" x14ac:dyDescent="0.25">
      <c r="A32" s="9">
        <v>1945</v>
      </c>
      <c r="B32" s="9">
        <v>12</v>
      </c>
      <c r="C32" s="10">
        <f t="shared" si="0"/>
        <v>129.70000000000002</v>
      </c>
      <c r="D32" s="10">
        <f t="shared" si="3"/>
        <v>1556.4</v>
      </c>
      <c r="E32" s="14">
        <v>3827.51</v>
      </c>
      <c r="F32" s="14">
        <f t="shared" si="1"/>
        <v>29.510485736314571</v>
      </c>
      <c r="G32" s="38">
        <f t="shared" si="2"/>
        <v>3.3886260257974511E-2</v>
      </c>
      <c r="H32" s="39"/>
      <c r="I32" s="14">
        <v>130</v>
      </c>
      <c r="J32" s="14">
        <v>130</v>
      </c>
      <c r="K32" s="14">
        <v>136.1</v>
      </c>
      <c r="L32" s="14">
        <v>138</v>
      </c>
      <c r="M32" s="14">
        <v>138</v>
      </c>
      <c r="N32" s="14">
        <v>138</v>
      </c>
      <c r="O32" s="14">
        <v>137.6</v>
      </c>
      <c r="P32" s="14">
        <v>137</v>
      </c>
      <c r="Q32" s="14">
        <v>137</v>
      </c>
      <c r="R32" s="14">
        <v>137</v>
      </c>
      <c r="S32" s="14">
        <v>90.5</v>
      </c>
      <c r="T32" s="14">
        <v>107.2</v>
      </c>
    </row>
    <row r="33" spans="1:20" s="13" customFormat="1" ht="15.75" customHeight="1" x14ac:dyDescent="0.25">
      <c r="A33" s="9">
        <v>1946</v>
      </c>
      <c r="B33" s="9">
        <v>12</v>
      </c>
      <c r="C33" s="10">
        <f t="shared" si="0"/>
        <v>105.85833333333333</v>
      </c>
      <c r="D33" s="10">
        <f t="shared" si="3"/>
        <v>1270.3</v>
      </c>
      <c r="E33" s="14">
        <v>3827.51</v>
      </c>
      <c r="F33" s="14">
        <f t="shared" si="1"/>
        <v>36.156907817051092</v>
      </c>
      <c r="G33" s="38">
        <f t="shared" si="2"/>
        <v>2.7657232334685821E-2</v>
      </c>
      <c r="H33" s="39"/>
      <c r="I33" s="14">
        <v>108.1</v>
      </c>
      <c r="J33" s="14">
        <v>109.2</v>
      </c>
      <c r="K33" s="14">
        <v>119.5</v>
      </c>
      <c r="L33" s="14">
        <v>120</v>
      </c>
      <c r="M33" s="14">
        <v>110.2</v>
      </c>
      <c r="N33" s="14">
        <v>117.9</v>
      </c>
      <c r="O33" s="14">
        <v>117.9</v>
      </c>
      <c r="P33" s="14">
        <v>117.4</v>
      </c>
      <c r="Q33" s="14">
        <v>117.7</v>
      </c>
      <c r="R33" s="14">
        <v>102.5</v>
      </c>
      <c r="S33" s="14">
        <v>37.9</v>
      </c>
      <c r="T33" s="14">
        <v>92</v>
      </c>
    </row>
    <row r="34" spans="1:20" s="13" customFormat="1" ht="15.75" customHeight="1" x14ac:dyDescent="0.25">
      <c r="A34" s="9">
        <v>1947</v>
      </c>
      <c r="B34" s="9">
        <v>12</v>
      </c>
      <c r="C34" s="10">
        <f t="shared" si="0"/>
        <v>98.90000000000002</v>
      </c>
      <c r="D34" s="10">
        <f t="shared" si="3"/>
        <v>1186.8000000000002</v>
      </c>
      <c r="E34" s="14">
        <v>3827.51</v>
      </c>
      <c r="F34" s="14">
        <f t="shared" si="1"/>
        <v>38.700808897876641</v>
      </c>
      <c r="G34" s="38">
        <f t="shared" si="2"/>
        <v>2.5839253195942012E-2</v>
      </c>
      <c r="H34" s="39"/>
      <c r="I34" s="14">
        <v>93.5</v>
      </c>
      <c r="J34" s="14">
        <v>94.8</v>
      </c>
      <c r="K34" s="14">
        <v>98.9</v>
      </c>
      <c r="L34" s="14">
        <v>101</v>
      </c>
      <c r="M34" s="14">
        <v>101</v>
      </c>
      <c r="N34" s="14">
        <v>100.1</v>
      </c>
      <c r="O34" s="14">
        <v>99.7</v>
      </c>
      <c r="P34" s="14">
        <v>100.1</v>
      </c>
      <c r="Q34" s="14">
        <v>99</v>
      </c>
      <c r="R34" s="14">
        <v>116.6</v>
      </c>
      <c r="S34" s="14">
        <v>73.900000000000006</v>
      </c>
      <c r="T34" s="14">
        <v>108.2</v>
      </c>
    </row>
    <row r="35" spans="1:20" s="13" customFormat="1" ht="15.75" customHeight="1" x14ac:dyDescent="0.25">
      <c r="A35" s="9">
        <v>1948</v>
      </c>
      <c r="B35" s="9">
        <v>12</v>
      </c>
      <c r="C35" s="10">
        <f t="shared" si="0"/>
        <v>104.80000000000001</v>
      </c>
      <c r="D35" s="10">
        <f t="shared" si="3"/>
        <v>1257.6000000000001</v>
      </c>
      <c r="E35" s="14">
        <v>3827.51</v>
      </c>
      <c r="F35" s="14">
        <f t="shared" si="1"/>
        <v>36.522041984732823</v>
      </c>
      <c r="G35" s="38">
        <f t="shared" si="2"/>
        <v>2.7380725327954727E-2</v>
      </c>
      <c r="H35" s="39"/>
      <c r="I35" s="14">
        <v>99</v>
      </c>
      <c r="J35" s="14">
        <v>99</v>
      </c>
      <c r="K35" s="14">
        <v>103</v>
      </c>
      <c r="L35" s="14">
        <v>101.2</v>
      </c>
      <c r="M35" s="14">
        <v>111.5</v>
      </c>
      <c r="N35" s="14">
        <v>117</v>
      </c>
      <c r="O35" s="14">
        <v>114.9</v>
      </c>
      <c r="P35" s="14">
        <v>115.6</v>
      </c>
      <c r="Q35" s="14">
        <v>115.1</v>
      </c>
      <c r="R35" s="14">
        <v>115</v>
      </c>
      <c r="S35" s="14">
        <v>73.099999999999994</v>
      </c>
      <c r="T35" s="14">
        <v>93.2</v>
      </c>
    </row>
    <row r="36" spans="1:20" s="13" customFormat="1" ht="15.75" customHeight="1" x14ac:dyDescent="0.25">
      <c r="A36" s="9">
        <v>1949</v>
      </c>
      <c r="B36" s="9">
        <v>12</v>
      </c>
      <c r="C36" s="10">
        <f t="shared" si="0"/>
        <v>108.51666666666667</v>
      </c>
      <c r="D36" s="10">
        <f t="shared" si="3"/>
        <v>1302.2</v>
      </c>
      <c r="E36" s="14">
        <v>3827.51</v>
      </c>
      <c r="F36" s="14">
        <f t="shared" si="1"/>
        <v>35.271171863001079</v>
      </c>
      <c r="G36" s="38">
        <f t="shared" si="2"/>
        <v>2.835176568230172E-2</v>
      </c>
      <c r="H36" s="39"/>
      <c r="I36" s="14">
        <v>93</v>
      </c>
      <c r="J36" s="14">
        <v>92.1</v>
      </c>
      <c r="K36" s="14">
        <v>98.3</v>
      </c>
      <c r="L36" s="14">
        <v>100.1</v>
      </c>
      <c r="M36" s="14">
        <v>99.9</v>
      </c>
      <c r="N36" s="14">
        <v>101.4</v>
      </c>
      <c r="O36" s="14">
        <v>95.6</v>
      </c>
      <c r="P36" s="14">
        <v>111.8</v>
      </c>
      <c r="Q36" s="14">
        <v>140.5</v>
      </c>
      <c r="R36" s="14">
        <v>144.30000000000001</v>
      </c>
      <c r="S36" s="14">
        <v>92.7</v>
      </c>
      <c r="T36" s="14">
        <v>132.5</v>
      </c>
    </row>
    <row r="37" spans="1:20" s="13" customFormat="1" ht="15.75" customHeight="1" x14ac:dyDescent="0.25">
      <c r="A37" s="9">
        <v>1950</v>
      </c>
      <c r="B37" s="9">
        <v>12</v>
      </c>
      <c r="C37" s="10">
        <f t="shared" si="0"/>
        <v>135.41666666666666</v>
      </c>
      <c r="D37" s="10">
        <f t="shared" si="3"/>
        <v>1625</v>
      </c>
      <c r="E37" s="14">
        <v>3827.51</v>
      </c>
      <c r="F37" s="14">
        <f t="shared" si="1"/>
        <v>28.264689230769235</v>
      </c>
      <c r="G37" s="38">
        <f t="shared" si="2"/>
        <v>3.5379833538427503E-2</v>
      </c>
      <c r="H37" s="39"/>
      <c r="I37" s="14">
        <v>132.30000000000001</v>
      </c>
      <c r="J37" s="14">
        <v>130.1</v>
      </c>
      <c r="K37" s="14">
        <v>137.1</v>
      </c>
      <c r="L37" s="14">
        <v>140.5</v>
      </c>
      <c r="M37" s="14">
        <v>138.1</v>
      </c>
      <c r="N37" s="14">
        <v>137</v>
      </c>
      <c r="O37" s="14">
        <v>140</v>
      </c>
      <c r="P37" s="14">
        <v>140.19999999999999</v>
      </c>
      <c r="Q37" s="14">
        <v>141.4</v>
      </c>
      <c r="R37" s="14">
        <v>142</v>
      </c>
      <c r="S37" s="14">
        <v>103.3</v>
      </c>
      <c r="T37" s="14">
        <v>143</v>
      </c>
    </row>
    <row r="38" spans="1:20" s="13" customFormat="1" ht="15.75" customHeight="1" x14ac:dyDescent="0.25">
      <c r="A38" s="9">
        <v>1951</v>
      </c>
      <c r="B38" s="9">
        <v>12</v>
      </c>
      <c r="C38" s="10">
        <f t="shared" si="0"/>
        <v>135.53333333333333</v>
      </c>
      <c r="D38" s="10">
        <f t="shared" si="3"/>
        <v>1626.3999999999999</v>
      </c>
      <c r="E38" s="14">
        <v>3827.51</v>
      </c>
      <c r="F38" s="14">
        <f t="shared" si="1"/>
        <v>28.24035907525824</v>
      </c>
      <c r="G38" s="38">
        <f t="shared" si="2"/>
        <v>3.5410314625783687E-2</v>
      </c>
      <c r="H38" s="39"/>
      <c r="I38" s="14">
        <v>142.19999999999999</v>
      </c>
      <c r="J38" s="14">
        <v>142</v>
      </c>
      <c r="K38" s="14">
        <v>148.30000000000001</v>
      </c>
      <c r="L38" s="14">
        <v>146.19999999999999</v>
      </c>
      <c r="M38" s="14">
        <v>138.80000000000001</v>
      </c>
      <c r="N38" s="14">
        <v>137.1</v>
      </c>
      <c r="O38" s="14">
        <v>136.30000000000001</v>
      </c>
      <c r="P38" s="14">
        <v>138</v>
      </c>
      <c r="Q38" s="14">
        <v>138.1</v>
      </c>
      <c r="R38" s="14">
        <v>143.1</v>
      </c>
      <c r="S38" s="14">
        <v>78.599999999999994</v>
      </c>
      <c r="T38" s="14">
        <v>137.69999999999999</v>
      </c>
    </row>
    <row r="39" spans="1:20" s="13" customFormat="1" ht="15.75" customHeight="1" x14ac:dyDescent="0.25">
      <c r="A39" s="9">
        <v>1952</v>
      </c>
      <c r="B39" s="9">
        <v>12</v>
      </c>
      <c r="C39" s="10">
        <f t="shared" si="0"/>
        <v>127.60000000000001</v>
      </c>
      <c r="D39" s="10">
        <f t="shared" si="3"/>
        <v>1531.2</v>
      </c>
      <c r="E39" s="14">
        <v>3827.51</v>
      </c>
      <c r="F39" s="14">
        <f t="shared" si="1"/>
        <v>29.99615987460815</v>
      </c>
      <c r="G39" s="38">
        <f t="shared" si="2"/>
        <v>3.3337600685563198E-2</v>
      </c>
      <c r="H39" s="39"/>
      <c r="I39" s="14">
        <v>138.19999999999999</v>
      </c>
      <c r="J39" s="14">
        <v>136</v>
      </c>
      <c r="K39" s="14">
        <v>142</v>
      </c>
      <c r="L39" s="14">
        <v>141.5</v>
      </c>
      <c r="M39" s="14">
        <v>140.9</v>
      </c>
      <c r="N39" s="14">
        <v>141.5</v>
      </c>
      <c r="O39" s="14">
        <v>141.80000000000001</v>
      </c>
      <c r="P39" s="14">
        <v>141.9</v>
      </c>
      <c r="Q39" s="14">
        <v>139</v>
      </c>
      <c r="R39" s="14">
        <v>91.3</v>
      </c>
      <c r="S39" s="14">
        <v>57.1</v>
      </c>
      <c r="T39" s="14">
        <v>120</v>
      </c>
    </row>
    <row r="40" spans="1:20" s="13" customFormat="1" ht="15.75" customHeight="1" x14ac:dyDescent="0.25">
      <c r="A40" s="9">
        <v>1953</v>
      </c>
      <c r="B40" s="9">
        <v>12</v>
      </c>
      <c r="C40" s="10">
        <f t="shared" si="0"/>
        <v>112.73333333333331</v>
      </c>
      <c r="D40" s="10">
        <f t="shared" si="3"/>
        <v>1352.7999999999997</v>
      </c>
      <c r="E40" s="14">
        <v>3827.51</v>
      </c>
      <c r="F40" s="14">
        <f t="shared" si="1"/>
        <v>33.951892371377895</v>
      </c>
      <c r="G40" s="38">
        <f t="shared" si="2"/>
        <v>2.9453439268175209E-2</v>
      </c>
      <c r="H40" s="39"/>
      <c r="I40" s="14">
        <v>117</v>
      </c>
      <c r="J40" s="14">
        <v>117</v>
      </c>
      <c r="K40" s="14">
        <v>114.7</v>
      </c>
      <c r="L40" s="14">
        <v>116.3</v>
      </c>
      <c r="M40" s="14">
        <v>115.8</v>
      </c>
      <c r="N40" s="14">
        <v>116.4</v>
      </c>
      <c r="O40" s="14">
        <v>119</v>
      </c>
      <c r="P40" s="14">
        <v>119</v>
      </c>
      <c r="Q40" s="14">
        <v>117</v>
      </c>
      <c r="R40" s="14">
        <v>109.8</v>
      </c>
      <c r="S40" s="14">
        <v>92.2</v>
      </c>
      <c r="T40" s="14">
        <v>98.6</v>
      </c>
    </row>
    <row r="41" spans="1:20" s="13" customFormat="1" ht="15.75" customHeight="1" x14ac:dyDescent="0.25">
      <c r="A41" s="9">
        <v>1954</v>
      </c>
      <c r="B41" s="9">
        <v>12</v>
      </c>
      <c r="C41" s="10">
        <f t="shared" si="0"/>
        <v>92.725000000000009</v>
      </c>
      <c r="D41" s="10">
        <f t="shared" si="3"/>
        <v>1112.7</v>
      </c>
      <c r="E41" s="14">
        <v>3827.51</v>
      </c>
      <c r="F41" s="14">
        <f t="shared" si="1"/>
        <v>41.278080345106495</v>
      </c>
      <c r="G41" s="38">
        <f t="shared" si="2"/>
        <v>2.4225932786589716E-2</v>
      </c>
      <c r="H41" s="39"/>
      <c r="I41" s="14">
        <v>97.6</v>
      </c>
      <c r="J41" s="14">
        <v>98</v>
      </c>
      <c r="K41" s="14">
        <v>105.4</v>
      </c>
      <c r="L41" s="14">
        <v>113.6</v>
      </c>
      <c r="M41" s="14">
        <v>112.6</v>
      </c>
      <c r="N41" s="14">
        <v>95.7</v>
      </c>
      <c r="O41" s="14">
        <v>78</v>
      </c>
      <c r="P41" s="14">
        <v>77.8</v>
      </c>
      <c r="Q41" s="14">
        <v>98</v>
      </c>
      <c r="R41" s="14">
        <v>91.3</v>
      </c>
      <c r="S41" s="14">
        <v>70.400000000000006</v>
      </c>
      <c r="T41" s="14">
        <v>74.3</v>
      </c>
    </row>
    <row r="42" spans="1:20" s="13" customFormat="1" ht="15.75" customHeight="1" x14ac:dyDescent="0.25">
      <c r="A42" s="9">
        <v>1955</v>
      </c>
      <c r="B42" s="9">
        <v>12</v>
      </c>
      <c r="C42" s="10">
        <f t="shared" si="0"/>
        <v>109.29166666666667</v>
      </c>
      <c r="D42" s="10">
        <f t="shared" si="3"/>
        <v>1311.5</v>
      </c>
      <c r="E42" s="14">
        <v>3827.51</v>
      </c>
      <c r="F42" s="14">
        <f t="shared" si="1"/>
        <v>35.021059855127717</v>
      </c>
      <c r="G42" s="38">
        <f t="shared" si="2"/>
        <v>2.8554247191167798E-2</v>
      </c>
      <c r="H42" s="39"/>
      <c r="I42" s="14">
        <v>81.8</v>
      </c>
      <c r="J42" s="14">
        <v>83</v>
      </c>
      <c r="K42" s="14">
        <v>112.4</v>
      </c>
      <c r="L42" s="14">
        <v>118.9</v>
      </c>
      <c r="M42" s="14">
        <v>92.4</v>
      </c>
      <c r="N42" s="14">
        <v>118.5</v>
      </c>
      <c r="O42" s="14">
        <v>119.1</v>
      </c>
      <c r="P42" s="14">
        <v>122.8</v>
      </c>
      <c r="Q42" s="14">
        <v>123</v>
      </c>
      <c r="R42" s="14">
        <v>121.2</v>
      </c>
      <c r="S42" s="14">
        <v>103.4</v>
      </c>
      <c r="T42" s="14">
        <v>115</v>
      </c>
    </row>
    <row r="43" spans="1:20" s="13" customFormat="1" ht="15.75" customHeight="1" x14ac:dyDescent="0.25">
      <c r="A43" s="9">
        <v>1956</v>
      </c>
      <c r="B43" s="9">
        <v>12</v>
      </c>
      <c r="C43" s="10">
        <f t="shared" si="0"/>
        <v>117.8</v>
      </c>
      <c r="D43" s="10">
        <f t="shared" si="3"/>
        <v>1413.6</v>
      </c>
      <c r="E43" s="14">
        <v>3827.51</v>
      </c>
      <c r="F43" s="14">
        <f t="shared" si="1"/>
        <v>32.491595925297119</v>
      </c>
      <c r="G43" s="38">
        <f t="shared" si="2"/>
        <v>3.0777189347643764E-2</v>
      </c>
      <c r="H43" s="39"/>
      <c r="I43" s="14">
        <v>114.5</v>
      </c>
      <c r="J43" s="14">
        <v>109.2</v>
      </c>
      <c r="K43" s="14">
        <v>120.6</v>
      </c>
      <c r="L43" s="14">
        <v>121.5</v>
      </c>
      <c r="M43" s="14">
        <v>119.6</v>
      </c>
      <c r="N43" s="14">
        <v>120.2</v>
      </c>
      <c r="O43" s="14">
        <v>120.7</v>
      </c>
      <c r="P43" s="14">
        <v>120.8</v>
      </c>
      <c r="Q43" s="14">
        <v>122</v>
      </c>
      <c r="R43" s="14">
        <v>140.19999999999999</v>
      </c>
      <c r="S43" s="14">
        <v>103.1</v>
      </c>
      <c r="T43" s="14">
        <v>101.2</v>
      </c>
    </row>
    <row r="44" spans="1:20" s="13" customFormat="1" ht="15.75" customHeight="1" x14ac:dyDescent="0.25">
      <c r="A44" s="9">
        <v>1957</v>
      </c>
      <c r="B44" s="9">
        <v>12</v>
      </c>
      <c r="C44" s="10">
        <f t="shared" si="0"/>
        <v>100.85000000000001</v>
      </c>
      <c r="D44" s="10">
        <f t="shared" si="3"/>
        <v>1210.2</v>
      </c>
      <c r="E44" s="14">
        <v>3827.51</v>
      </c>
      <c r="F44" s="14">
        <f t="shared" si="1"/>
        <v>37.95250371839365</v>
      </c>
      <c r="G44" s="38">
        <f t="shared" si="2"/>
        <v>2.6348722798895365E-2</v>
      </c>
      <c r="H44" s="39"/>
      <c r="I44" s="14">
        <v>104.9</v>
      </c>
      <c r="J44" s="14">
        <v>104</v>
      </c>
      <c r="K44" s="14">
        <v>105.5</v>
      </c>
      <c r="L44" s="14">
        <v>104.1</v>
      </c>
      <c r="M44" s="14">
        <v>108</v>
      </c>
      <c r="N44" s="14">
        <v>107.2</v>
      </c>
      <c r="O44" s="14">
        <v>109.3</v>
      </c>
      <c r="P44" s="14">
        <v>110.6</v>
      </c>
      <c r="Q44" s="14">
        <v>108.3</v>
      </c>
      <c r="R44" s="14">
        <v>104.8</v>
      </c>
      <c r="S44" s="14">
        <v>65.5</v>
      </c>
      <c r="T44" s="14">
        <v>78</v>
      </c>
    </row>
    <row r="45" spans="1:20" s="13" customFormat="1" ht="15.75" customHeight="1" x14ac:dyDescent="0.25">
      <c r="A45" s="9">
        <v>1958</v>
      </c>
      <c r="B45" s="9">
        <v>12</v>
      </c>
      <c r="C45" s="10">
        <f t="shared" si="0"/>
        <v>63.441666666666663</v>
      </c>
      <c r="D45" s="10">
        <f t="shared" si="3"/>
        <v>761.3</v>
      </c>
      <c r="E45" s="14">
        <v>1971.44</v>
      </c>
      <c r="F45" s="14">
        <f t="shared" si="1"/>
        <v>31.07484565874163</v>
      </c>
      <c r="G45" s="38">
        <f t="shared" si="2"/>
        <v>3.2180369002691771E-2</v>
      </c>
      <c r="H45" s="39"/>
      <c r="I45" s="14">
        <v>61</v>
      </c>
      <c r="J45" s="14">
        <v>61</v>
      </c>
      <c r="K45" s="14">
        <v>64.7</v>
      </c>
      <c r="L45" s="14">
        <v>65.400000000000006</v>
      </c>
      <c r="M45" s="14">
        <v>65.7</v>
      </c>
      <c r="N45" s="14">
        <v>66.8</v>
      </c>
      <c r="O45" s="14">
        <v>67</v>
      </c>
      <c r="P45" s="14">
        <v>65.5</v>
      </c>
      <c r="Q45" s="14">
        <v>65</v>
      </c>
      <c r="R45" s="14">
        <v>60.6</v>
      </c>
      <c r="S45" s="14">
        <v>37.299999999999997</v>
      </c>
      <c r="T45" s="14">
        <v>81.3</v>
      </c>
    </row>
    <row r="46" spans="1:20" s="13" customFormat="1" ht="15.75" customHeight="1" x14ac:dyDescent="0.25">
      <c r="A46" s="9">
        <v>1959</v>
      </c>
      <c r="B46" s="9">
        <v>12</v>
      </c>
      <c r="C46" s="10">
        <f t="shared" si="0"/>
        <v>83.125</v>
      </c>
      <c r="D46" s="10">
        <f t="shared" si="3"/>
        <v>997.5</v>
      </c>
      <c r="E46" s="14">
        <v>1971.44</v>
      </c>
      <c r="F46" s="14">
        <f t="shared" si="1"/>
        <v>23.716571428571431</v>
      </c>
      <c r="G46" s="38">
        <f t="shared" si="2"/>
        <v>4.2164610639938316E-2</v>
      </c>
      <c r="H46" s="39"/>
      <c r="I46" s="14">
        <v>80</v>
      </c>
      <c r="J46" s="14">
        <v>80</v>
      </c>
      <c r="K46" s="14">
        <v>83.2</v>
      </c>
      <c r="L46" s="14">
        <v>85</v>
      </c>
      <c r="M46" s="14">
        <v>82.4</v>
      </c>
      <c r="N46" s="14">
        <v>82</v>
      </c>
      <c r="O46" s="14">
        <v>83.8</v>
      </c>
      <c r="P46" s="14">
        <v>85</v>
      </c>
      <c r="Q46" s="14">
        <v>84.5</v>
      </c>
      <c r="R46" s="14">
        <v>64.7</v>
      </c>
      <c r="S46" s="14">
        <v>86.9</v>
      </c>
      <c r="T46" s="14">
        <v>100</v>
      </c>
    </row>
    <row r="47" spans="1:20" s="13" customFormat="1" ht="15.75" customHeight="1" x14ac:dyDescent="0.25">
      <c r="A47" s="9">
        <v>1960</v>
      </c>
      <c r="B47" s="9">
        <v>12</v>
      </c>
      <c r="C47" s="10">
        <f t="shared" si="0"/>
        <v>92.933333333333323</v>
      </c>
      <c r="D47" s="10">
        <f t="shared" si="3"/>
        <v>1115.1999999999998</v>
      </c>
      <c r="E47" s="14">
        <v>1971.44</v>
      </c>
      <c r="F47" s="14">
        <f t="shared" si="1"/>
        <v>21.21348637015782</v>
      </c>
      <c r="G47" s="38">
        <f t="shared" si="2"/>
        <v>4.7139823344019255E-2</v>
      </c>
      <c r="H47" s="39"/>
      <c r="I47" s="14">
        <v>100</v>
      </c>
      <c r="J47" s="14">
        <v>100</v>
      </c>
      <c r="K47" s="14">
        <v>103.2</v>
      </c>
      <c r="L47" s="14">
        <v>105</v>
      </c>
      <c r="M47" s="14">
        <v>103.8</v>
      </c>
      <c r="N47" s="14">
        <v>102.3</v>
      </c>
      <c r="O47" s="14">
        <v>102</v>
      </c>
      <c r="P47" s="14">
        <v>102</v>
      </c>
      <c r="Q47" s="14">
        <v>99.7</v>
      </c>
      <c r="R47" s="14">
        <v>95.3</v>
      </c>
      <c r="S47" s="14">
        <v>42.8</v>
      </c>
      <c r="T47" s="14">
        <v>59.1</v>
      </c>
    </row>
    <row r="48" spans="1:20" s="13" customFormat="1" ht="15.75" customHeight="1" x14ac:dyDescent="0.25">
      <c r="A48" s="9">
        <v>1961</v>
      </c>
      <c r="B48" s="9">
        <v>12</v>
      </c>
      <c r="C48" s="10">
        <f t="shared" si="0"/>
        <v>80.149999999999991</v>
      </c>
      <c r="D48" s="10">
        <f t="shared" si="3"/>
        <v>961.8</v>
      </c>
      <c r="E48" s="14">
        <v>1971.44</v>
      </c>
      <c r="F48" s="14">
        <f t="shared" si="1"/>
        <v>24.596880848409235</v>
      </c>
      <c r="G48" s="38">
        <f t="shared" si="2"/>
        <v>4.065556141703526E-2</v>
      </c>
      <c r="H48" s="39"/>
      <c r="I48" s="14">
        <v>60</v>
      </c>
      <c r="J48" s="14">
        <v>60</v>
      </c>
      <c r="K48" s="14">
        <v>68.3</v>
      </c>
      <c r="L48" s="14">
        <v>71</v>
      </c>
      <c r="M48" s="14">
        <v>71</v>
      </c>
      <c r="N48" s="14">
        <v>71</v>
      </c>
      <c r="O48" s="14">
        <v>71</v>
      </c>
      <c r="P48" s="14">
        <v>100</v>
      </c>
      <c r="Q48" s="14">
        <v>112.2</v>
      </c>
      <c r="R48" s="14">
        <v>101.3</v>
      </c>
      <c r="S48" s="14">
        <v>73.8</v>
      </c>
      <c r="T48" s="14">
        <v>102.2</v>
      </c>
    </row>
    <row r="49" spans="1:20" s="13" customFormat="1" ht="15.75" customHeight="1" x14ac:dyDescent="0.25">
      <c r="A49" s="9">
        <v>1962</v>
      </c>
      <c r="B49" s="9">
        <v>12</v>
      </c>
      <c r="C49" s="10">
        <f t="shared" si="0"/>
        <v>76.325000000000003</v>
      </c>
      <c r="D49" s="10">
        <f t="shared" si="3"/>
        <v>915.90000000000009</v>
      </c>
      <c r="E49" s="14">
        <v>1971.44</v>
      </c>
      <c r="F49" s="14">
        <f t="shared" si="1"/>
        <v>25.829544710121191</v>
      </c>
      <c r="G49" s="38">
        <f t="shared" si="2"/>
        <v>3.8715355273302762E-2</v>
      </c>
      <c r="H49" s="39"/>
      <c r="I49" s="14">
        <v>102</v>
      </c>
      <c r="J49" s="14">
        <v>99.2</v>
      </c>
      <c r="K49" s="14">
        <v>60</v>
      </c>
      <c r="L49" s="14">
        <v>0</v>
      </c>
      <c r="M49" s="14">
        <v>0</v>
      </c>
      <c r="N49" s="14">
        <v>89.9</v>
      </c>
      <c r="O49" s="14">
        <v>101.6</v>
      </c>
      <c r="P49" s="14">
        <v>101</v>
      </c>
      <c r="Q49" s="14">
        <v>100.2</v>
      </c>
      <c r="R49" s="14">
        <v>97</v>
      </c>
      <c r="S49" s="14">
        <v>76</v>
      </c>
      <c r="T49" s="14">
        <v>89</v>
      </c>
    </row>
    <row r="50" spans="1:20" s="13" customFormat="1" ht="15.75" customHeight="1" x14ac:dyDescent="0.25">
      <c r="A50" s="9">
        <v>1963</v>
      </c>
      <c r="B50" s="9">
        <v>12</v>
      </c>
      <c r="C50" s="10">
        <f t="shared" si="0"/>
        <v>56.06666666666667</v>
      </c>
      <c r="D50" s="10">
        <f t="shared" si="3"/>
        <v>672.80000000000007</v>
      </c>
      <c r="E50" s="14">
        <v>1971.44</v>
      </c>
      <c r="F50" s="14">
        <f t="shared" si="1"/>
        <v>35.16242568370987</v>
      </c>
      <c r="G50" s="38">
        <f t="shared" si="2"/>
        <v>2.8439448660201004E-2</v>
      </c>
      <c r="H50" s="39"/>
      <c r="I50" s="14">
        <v>89</v>
      </c>
      <c r="J50" s="14">
        <v>38.700000000000003</v>
      </c>
      <c r="K50" s="14">
        <v>10.3</v>
      </c>
      <c r="L50" s="14">
        <v>13.8</v>
      </c>
      <c r="M50" s="14">
        <v>13.8</v>
      </c>
      <c r="N50" s="14">
        <v>13.8</v>
      </c>
      <c r="O50" s="14">
        <v>84.8</v>
      </c>
      <c r="P50" s="14">
        <v>96.4</v>
      </c>
      <c r="Q50" s="14">
        <v>95.5</v>
      </c>
      <c r="R50" s="14">
        <v>89.7</v>
      </c>
      <c r="S50" s="14">
        <v>54</v>
      </c>
      <c r="T50" s="14">
        <v>73</v>
      </c>
    </row>
    <row r="51" spans="1:20" s="13" customFormat="1" ht="15.75" customHeight="1" x14ac:dyDescent="0.25">
      <c r="A51" s="9">
        <v>1964</v>
      </c>
      <c r="B51" s="9">
        <v>12</v>
      </c>
      <c r="C51" s="10">
        <f t="shared" si="0"/>
        <v>69.166666666666671</v>
      </c>
      <c r="D51" s="10">
        <f t="shared" si="3"/>
        <v>830</v>
      </c>
      <c r="E51" s="14">
        <v>1971.44</v>
      </c>
      <c r="F51" s="14">
        <f t="shared" si="1"/>
        <v>28.502746987951806</v>
      </c>
      <c r="G51" s="38">
        <f t="shared" si="2"/>
        <v>3.5084337675337147E-2</v>
      </c>
      <c r="H51" s="39"/>
      <c r="I51" s="14">
        <v>73</v>
      </c>
      <c r="J51" s="14">
        <v>70.099999999999994</v>
      </c>
      <c r="K51" s="14">
        <v>69.2</v>
      </c>
      <c r="L51" s="14">
        <v>75</v>
      </c>
      <c r="M51" s="14">
        <v>75</v>
      </c>
      <c r="N51" s="14">
        <v>75</v>
      </c>
      <c r="O51" s="14">
        <v>76</v>
      </c>
      <c r="P51" s="14">
        <v>76</v>
      </c>
      <c r="Q51" s="14">
        <v>75.099999999999994</v>
      </c>
      <c r="R51" s="14">
        <v>68.099999999999994</v>
      </c>
      <c r="S51" s="14">
        <v>33.5</v>
      </c>
      <c r="T51" s="14">
        <v>64</v>
      </c>
    </row>
    <row r="52" spans="1:20" s="13" customFormat="1" ht="15.75" customHeight="1" x14ac:dyDescent="0.25">
      <c r="A52" s="9">
        <v>1965</v>
      </c>
      <c r="B52" s="9">
        <v>12</v>
      </c>
      <c r="C52" s="10">
        <f t="shared" si="0"/>
        <v>65.766666666666666</v>
      </c>
      <c r="D52" s="10">
        <f t="shared" si="3"/>
        <v>789.19999999999993</v>
      </c>
      <c r="E52" s="14">
        <v>1971.44</v>
      </c>
      <c r="F52" s="14">
        <f t="shared" si="1"/>
        <v>29.976279776989358</v>
      </c>
      <c r="G52" s="38">
        <f t="shared" si="2"/>
        <v>3.3359709992019371E-2</v>
      </c>
      <c r="H52" s="39"/>
      <c r="I52" s="14">
        <v>64</v>
      </c>
      <c r="J52" s="14">
        <v>64</v>
      </c>
      <c r="K52" s="14">
        <v>66.099999999999994</v>
      </c>
      <c r="L52" s="14">
        <v>66.7</v>
      </c>
      <c r="M52" s="14">
        <v>63.6</v>
      </c>
      <c r="N52" s="14">
        <v>64</v>
      </c>
      <c r="O52" s="14">
        <v>64.599999999999994</v>
      </c>
      <c r="P52" s="14">
        <v>65</v>
      </c>
      <c r="Q52" s="14">
        <v>65.8</v>
      </c>
      <c r="R52" s="14">
        <v>65.3</v>
      </c>
      <c r="S52" s="14">
        <v>66.099999999999994</v>
      </c>
      <c r="T52" s="14">
        <v>74</v>
      </c>
    </row>
    <row r="53" spans="1:20" s="13" customFormat="1" ht="15.75" customHeight="1" x14ac:dyDescent="0.25">
      <c r="A53" s="9">
        <v>1966</v>
      </c>
      <c r="B53" s="9">
        <v>12</v>
      </c>
      <c r="C53" s="10">
        <f t="shared" si="0"/>
        <v>56.516666666666659</v>
      </c>
      <c r="D53" s="10">
        <f t="shared" si="3"/>
        <v>678.19999999999993</v>
      </c>
      <c r="E53" s="14">
        <v>1971.44</v>
      </c>
      <c r="F53" s="14">
        <f t="shared" si="1"/>
        <v>34.882453553524037</v>
      </c>
      <c r="G53" s="38">
        <f t="shared" si="2"/>
        <v>2.8667708206522469E-2</v>
      </c>
      <c r="H53" s="39"/>
      <c r="I53" s="14">
        <v>72.599999999999994</v>
      </c>
      <c r="J53" s="14">
        <v>50.8</v>
      </c>
      <c r="K53" s="14">
        <v>52</v>
      </c>
      <c r="L53" s="14">
        <v>58</v>
      </c>
      <c r="M53" s="14">
        <v>57.9</v>
      </c>
      <c r="N53" s="14">
        <v>56.1</v>
      </c>
      <c r="O53" s="14">
        <v>57</v>
      </c>
      <c r="P53" s="14">
        <v>57.9</v>
      </c>
      <c r="Q53" s="14">
        <v>56.9</v>
      </c>
      <c r="R53" s="14">
        <v>53.1</v>
      </c>
      <c r="S53" s="14">
        <v>38.9</v>
      </c>
      <c r="T53" s="14">
        <v>67</v>
      </c>
    </row>
    <row r="54" spans="1:20" s="13" customFormat="1" ht="15.75" customHeight="1" x14ac:dyDescent="0.25">
      <c r="A54" s="9">
        <v>1967</v>
      </c>
      <c r="B54" s="9">
        <v>12</v>
      </c>
      <c r="C54" s="10">
        <f t="shared" si="0"/>
        <v>68.641666666666666</v>
      </c>
      <c r="D54" s="10">
        <f t="shared" si="3"/>
        <v>823.7</v>
      </c>
      <c r="E54" s="14">
        <v>1971.44</v>
      </c>
      <c r="F54" s="14">
        <f t="shared" si="1"/>
        <v>28.720747845089232</v>
      </c>
      <c r="G54" s="38">
        <f t="shared" si="2"/>
        <v>3.4818034871295429E-2</v>
      </c>
      <c r="H54" s="39"/>
      <c r="I54" s="14">
        <v>67</v>
      </c>
      <c r="J54" s="14">
        <v>64.3</v>
      </c>
      <c r="K54" s="14">
        <v>69.5</v>
      </c>
      <c r="L54" s="14">
        <v>70.400000000000006</v>
      </c>
      <c r="M54" s="14">
        <v>68.5</v>
      </c>
      <c r="N54" s="14">
        <v>68</v>
      </c>
      <c r="O54" s="14">
        <v>70.599999999999994</v>
      </c>
      <c r="P54" s="14">
        <v>71</v>
      </c>
      <c r="Q54" s="14">
        <v>71</v>
      </c>
      <c r="R54" s="14">
        <v>67.7</v>
      </c>
      <c r="S54" s="14">
        <v>59.8</v>
      </c>
      <c r="T54" s="14">
        <v>75.900000000000006</v>
      </c>
    </row>
    <row r="55" spans="1:20" s="13" customFormat="1" ht="15.75" customHeight="1" x14ac:dyDescent="0.25">
      <c r="A55" s="9">
        <v>1968</v>
      </c>
      <c r="B55" s="9">
        <v>12</v>
      </c>
      <c r="C55" s="10">
        <f t="shared" si="0"/>
        <v>71.333333333333329</v>
      </c>
      <c r="D55" s="10">
        <f t="shared" si="3"/>
        <v>856</v>
      </c>
      <c r="E55" s="14">
        <v>1971.44</v>
      </c>
      <c r="F55" s="14">
        <f t="shared" si="1"/>
        <v>27.637009345794397</v>
      </c>
      <c r="G55" s="38">
        <f t="shared" si="2"/>
        <v>3.6183365120588666E-2</v>
      </c>
      <c r="H55" s="39"/>
      <c r="I55" s="14">
        <v>74.2</v>
      </c>
      <c r="J55" s="14">
        <v>73</v>
      </c>
      <c r="K55" s="14">
        <v>76</v>
      </c>
      <c r="L55" s="14">
        <v>75</v>
      </c>
      <c r="M55" s="14">
        <v>75</v>
      </c>
      <c r="N55" s="14">
        <v>75</v>
      </c>
      <c r="O55" s="14">
        <v>75</v>
      </c>
      <c r="P55" s="14">
        <v>74.8</v>
      </c>
      <c r="Q55" s="14">
        <v>74.900000000000006</v>
      </c>
      <c r="R55" s="14">
        <v>70</v>
      </c>
      <c r="S55" s="14">
        <v>48.1</v>
      </c>
      <c r="T55" s="14">
        <v>65</v>
      </c>
    </row>
    <row r="56" spans="1:20" s="13" customFormat="1" ht="15.75" customHeight="1" x14ac:dyDescent="0.25">
      <c r="A56" s="9">
        <v>1969</v>
      </c>
      <c r="B56" s="9">
        <v>12</v>
      </c>
      <c r="C56" s="10">
        <f t="shared" si="0"/>
        <v>63.85</v>
      </c>
      <c r="D56" s="10">
        <f t="shared" si="3"/>
        <v>766.2</v>
      </c>
      <c r="E56" s="14">
        <v>1971.44</v>
      </c>
      <c r="F56" s="14">
        <f t="shared" si="1"/>
        <v>30.876115896632733</v>
      </c>
      <c r="G56" s="38">
        <f t="shared" si="2"/>
        <v>3.2387493405835327E-2</v>
      </c>
      <c r="H56" s="39"/>
      <c r="I56" s="14">
        <v>65</v>
      </c>
      <c r="J56" s="14">
        <v>65</v>
      </c>
      <c r="K56" s="14">
        <v>67.7</v>
      </c>
      <c r="L56" s="14">
        <v>66.7</v>
      </c>
      <c r="M56" s="14">
        <v>66</v>
      </c>
      <c r="N56" s="14">
        <v>64.7</v>
      </c>
      <c r="O56" s="14">
        <v>64.400000000000006</v>
      </c>
      <c r="P56" s="14">
        <v>66</v>
      </c>
      <c r="Q56" s="14">
        <v>66</v>
      </c>
      <c r="R56" s="14">
        <v>62</v>
      </c>
      <c r="S56" s="14">
        <v>55.2</v>
      </c>
      <c r="T56" s="14">
        <v>57.5</v>
      </c>
    </row>
    <row r="57" spans="1:20" s="13" customFormat="1" ht="15.75" customHeight="1" x14ac:dyDescent="0.25">
      <c r="A57" s="9">
        <v>1970</v>
      </c>
      <c r="B57" s="9">
        <v>12</v>
      </c>
      <c r="C57" s="10">
        <f t="shared" si="0"/>
        <v>61.949999999999996</v>
      </c>
      <c r="D57" s="10">
        <f t="shared" si="3"/>
        <v>743.4</v>
      </c>
      <c r="E57" s="14">
        <v>1971.44</v>
      </c>
      <c r="F57" s="14">
        <f t="shared" si="1"/>
        <v>31.823083131557709</v>
      </c>
      <c r="G57" s="38">
        <f t="shared" si="2"/>
        <v>3.1423730876922448E-2</v>
      </c>
      <c r="H57" s="39"/>
      <c r="I57" s="14">
        <v>61</v>
      </c>
      <c r="J57" s="14">
        <v>61</v>
      </c>
      <c r="K57" s="14">
        <v>61</v>
      </c>
      <c r="L57" s="14">
        <v>66</v>
      </c>
      <c r="M57" s="14">
        <v>65.400000000000006</v>
      </c>
      <c r="N57" s="14">
        <v>65</v>
      </c>
      <c r="O57" s="14">
        <v>65</v>
      </c>
      <c r="P57" s="14">
        <v>55</v>
      </c>
      <c r="Q57" s="14">
        <v>65</v>
      </c>
      <c r="R57" s="14">
        <v>37.5</v>
      </c>
      <c r="S57" s="14">
        <v>71</v>
      </c>
      <c r="T57" s="14">
        <v>70.5</v>
      </c>
    </row>
    <row r="58" spans="1:20" s="13" customFormat="1" ht="15.75" customHeight="1" x14ac:dyDescent="0.25">
      <c r="A58" s="9">
        <v>1971</v>
      </c>
      <c r="B58" s="9">
        <v>12</v>
      </c>
      <c r="C58" s="10">
        <f t="shared" si="0"/>
        <v>69.45</v>
      </c>
      <c r="D58" s="10">
        <f t="shared" si="3"/>
        <v>833.4</v>
      </c>
      <c r="E58" s="14">
        <v>1971.44</v>
      </c>
      <c r="F58" s="14">
        <f t="shared" si="1"/>
        <v>28.386465082793375</v>
      </c>
      <c r="G58" s="38">
        <f t="shared" si="2"/>
        <v>3.5228056648946966E-2</v>
      </c>
      <c r="H58" s="39"/>
      <c r="I58" s="14">
        <v>69.3</v>
      </c>
      <c r="J58" s="14">
        <v>70</v>
      </c>
      <c r="K58" s="14">
        <v>73.7</v>
      </c>
      <c r="L58" s="14">
        <v>75</v>
      </c>
      <c r="M58" s="14">
        <v>74.5</v>
      </c>
      <c r="N58" s="14">
        <v>75</v>
      </c>
      <c r="O58" s="14">
        <v>75</v>
      </c>
      <c r="P58" s="14">
        <v>75</v>
      </c>
      <c r="Q58" s="14">
        <v>75</v>
      </c>
      <c r="R58" s="14">
        <v>50.7</v>
      </c>
      <c r="S58" s="14">
        <v>51.3</v>
      </c>
      <c r="T58" s="14">
        <v>68.900000000000006</v>
      </c>
    </row>
    <row r="59" spans="1:20" s="13" customFormat="1" ht="15.75" customHeight="1" x14ac:dyDescent="0.25">
      <c r="A59" s="9">
        <v>1972</v>
      </c>
      <c r="B59" s="9">
        <v>12</v>
      </c>
      <c r="C59" s="10">
        <f t="shared" si="0"/>
        <v>35.908333333333331</v>
      </c>
      <c r="D59" s="10">
        <f>SUM(I59:T59)</f>
        <v>430.9</v>
      </c>
      <c r="E59" s="54">
        <v>315.63</v>
      </c>
      <c r="F59" s="14">
        <f t="shared" si="1"/>
        <v>8.7898816430726399</v>
      </c>
      <c r="G59" s="38">
        <f t="shared" si="2"/>
        <v>0.11376717464541815</v>
      </c>
      <c r="H59" s="39"/>
      <c r="I59" s="14">
        <v>68</v>
      </c>
      <c r="J59" s="14">
        <v>68.900000000000006</v>
      </c>
      <c r="K59" s="14">
        <v>72</v>
      </c>
      <c r="L59" s="14">
        <v>74</v>
      </c>
      <c r="M59" s="14">
        <v>74</v>
      </c>
      <c r="N59" s="14">
        <v>74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</row>
    <row r="60" spans="1:20" ht="15.75" customHeight="1" x14ac:dyDescent="0.25">
      <c r="A60" s="58">
        <v>1973</v>
      </c>
      <c r="B60" s="58">
        <v>12</v>
      </c>
      <c r="C60" s="59">
        <f t="shared" ref="C60:C76" si="4">D60/B60</f>
        <v>37.666666666666664</v>
      </c>
      <c r="D60" s="59">
        <f t="shared" ref="D60:D75" si="5">SUM(I60:T60)</f>
        <v>452</v>
      </c>
      <c r="E60" s="54">
        <v>315.63</v>
      </c>
      <c r="F60" s="54">
        <f t="shared" ref="F60:F76" si="6">E60/C60</f>
        <v>8.3795575221238945</v>
      </c>
      <c r="G60" s="60">
        <f t="shared" ref="G60:G76" si="7">C60/E60</f>
        <v>0.11933804348974009</v>
      </c>
      <c r="I60" s="54">
        <v>0</v>
      </c>
      <c r="J60" s="54">
        <v>0</v>
      </c>
      <c r="K60" s="54">
        <v>56.5</v>
      </c>
      <c r="L60" s="54">
        <v>56.5</v>
      </c>
      <c r="M60" s="54">
        <v>56.5</v>
      </c>
      <c r="N60" s="54">
        <v>56.5</v>
      </c>
      <c r="O60" s="54">
        <v>56.5</v>
      </c>
      <c r="P60" s="54">
        <v>56.5</v>
      </c>
      <c r="Q60" s="54">
        <v>56.5</v>
      </c>
      <c r="R60" s="54">
        <v>56.5</v>
      </c>
      <c r="S60" s="54">
        <v>0</v>
      </c>
      <c r="T60" s="54">
        <v>0</v>
      </c>
    </row>
    <row r="61" spans="1:20" ht="15.75" customHeight="1" x14ac:dyDescent="0.25">
      <c r="A61" s="58">
        <v>1974</v>
      </c>
      <c r="B61" s="58">
        <v>12</v>
      </c>
      <c r="C61" s="59">
        <f t="shared" si="4"/>
        <v>4.333333333333333</v>
      </c>
      <c r="D61" s="59">
        <f t="shared" si="5"/>
        <v>52</v>
      </c>
      <c r="E61" s="54">
        <v>315.63</v>
      </c>
      <c r="F61" s="54">
        <f t="shared" si="6"/>
        <v>72.837692307692308</v>
      </c>
      <c r="G61" s="60">
        <f t="shared" si="7"/>
        <v>1.3729155445722311E-2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26</v>
      </c>
      <c r="T61" s="54">
        <v>26</v>
      </c>
    </row>
    <row r="62" spans="1:20" ht="15.75" customHeight="1" x14ac:dyDescent="0.25">
      <c r="A62" s="58">
        <v>1975</v>
      </c>
      <c r="B62" s="58">
        <v>12</v>
      </c>
      <c r="C62" s="59">
        <f t="shared" si="4"/>
        <v>4.5249999999999995</v>
      </c>
      <c r="D62" s="59">
        <f t="shared" si="5"/>
        <v>54.3</v>
      </c>
      <c r="E62" s="54">
        <v>315.63</v>
      </c>
      <c r="F62" s="54">
        <f t="shared" si="6"/>
        <v>69.752486187845307</v>
      </c>
      <c r="G62" s="60">
        <f t="shared" si="7"/>
        <v>1.4336406551975413E-2</v>
      </c>
      <c r="I62" s="54">
        <v>25.3</v>
      </c>
      <c r="J62" s="54">
        <v>25</v>
      </c>
      <c r="K62" s="54">
        <v>4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</row>
    <row r="63" spans="1:20" ht="15.75" customHeight="1" x14ac:dyDescent="0.25">
      <c r="A63" s="58">
        <v>1976</v>
      </c>
      <c r="B63" s="58">
        <v>12</v>
      </c>
      <c r="C63" s="59">
        <f t="shared" si="4"/>
        <v>37.666666666666664</v>
      </c>
      <c r="D63" s="59">
        <f t="shared" si="5"/>
        <v>452</v>
      </c>
      <c r="E63" s="54">
        <v>315.63</v>
      </c>
      <c r="F63" s="54">
        <f t="shared" si="6"/>
        <v>8.3795575221238945</v>
      </c>
      <c r="G63" s="60">
        <f t="shared" si="7"/>
        <v>0.11933804348974009</v>
      </c>
      <c r="I63" s="54">
        <v>0</v>
      </c>
      <c r="J63" s="54">
        <v>0</v>
      </c>
      <c r="K63" s="54">
        <v>56.5</v>
      </c>
      <c r="L63" s="54">
        <v>56.5</v>
      </c>
      <c r="M63" s="54">
        <v>56.5</v>
      </c>
      <c r="N63" s="54">
        <v>56.5</v>
      </c>
      <c r="O63" s="54">
        <v>56.5</v>
      </c>
      <c r="P63" s="54">
        <v>56.5</v>
      </c>
      <c r="Q63" s="54">
        <v>56.5</v>
      </c>
      <c r="R63" s="54">
        <v>56.5</v>
      </c>
      <c r="S63" s="54">
        <v>0</v>
      </c>
      <c r="T63" s="54">
        <v>0</v>
      </c>
    </row>
    <row r="64" spans="1:20" ht="15.75" customHeight="1" x14ac:dyDescent="0.25">
      <c r="A64" s="58">
        <v>1977</v>
      </c>
      <c r="B64" s="58">
        <v>12</v>
      </c>
      <c r="C64" s="59">
        <f t="shared" si="4"/>
        <v>8.6666666666666661</v>
      </c>
      <c r="D64" s="59">
        <f t="shared" si="5"/>
        <v>104</v>
      </c>
      <c r="E64" s="54">
        <v>315.63</v>
      </c>
      <c r="F64" s="54">
        <f t="shared" si="6"/>
        <v>36.418846153846154</v>
      </c>
      <c r="G64" s="60">
        <f t="shared" si="7"/>
        <v>2.7458310891444623E-2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52</v>
      </c>
      <c r="T64" s="54">
        <v>52</v>
      </c>
    </row>
    <row r="65" spans="1:20" ht="15.75" customHeight="1" x14ac:dyDescent="0.25">
      <c r="A65" s="58">
        <v>1978</v>
      </c>
      <c r="B65" s="58">
        <v>12</v>
      </c>
      <c r="C65" s="59">
        <f t="shared" si="4"/>
        <v>8.6666666666666661</v>
      </c>
      <c r="D65" s="59">
        <f t="shared" si="5"/>
        <v>104</v>
      </c>
      <c r="E65" s="54">
        <v>315.63</v>
      </c>
      <c r="F65" s="54">
        <f t="shared" si="6"/>
        <v>36.418846153846154</v>
      </c>
      <c r="G65" s="60">
        <f t="shared" si="7"/>
        <v>2.7458310891444623E-2</v>
      </c>
      <c r="I65" s="54">
        <v>52</v>
      </c>
      <c r="J65" s="54">
        <v>52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</row>
    <row r="66" spans="1:20" ht="15.75" customHeight="1" x14ac:dyDescent="0.25">
      <c r="A66" s="58">
        <v>1979</v>
      </c>
      <c r="B66" s="58">
        <v>12</v>
      </c>
      <c r="C66" s="59">
        <f t="shared" si="4"/>
        <v>37.666666666666664</v>
      </c>
      <c r="D66" s="59">
        <f t="shared" si="5"/>
        <v>452</v>
      </c>
      <c r="E66" s="54">
        <v>315.63</v>
      </c>
      <c r="F66" s="54">
        <f t="shared" si="6"/>
        <v>8.3795575221238945</v>
      </c>
      <c r="G66" s="60">
        <f t="shared" si="7"/>
        <v>0.11933804348974009</v>
      </c>
      <c r="I66" s="54">
        <v>0</v>
      </c>
      <c r="J66" s="54">
        <v>0</v>
      </c>
      <c r="K66" s="54">
        <v>56.5</v>
      </c>
      <c r="L66" s="54">
        <v>56.5</v>
      </c>
      <c r="M66" s="54">
        <v>56.5</v>
      </c>
      <c r="N66" s="54">
        <v>56.5</v>
      </c>
      <c r="O66" s="54">
        <v>56.5</v>
      </c>
      <c r="P66" s="54">
        <v>56.5</v>
      </c>
      <c r="Q66" s="54">
        <v>56.5</v>
      </c>
      <c r="R66" s="54">
        <v>56.5</v>
      </c>
      <c r="S66" s="54">
        <v>0</v>
      </c>
      <c r="T66" s="54">
        <v>0</v>
      </c>
    </row>
    <row r="67" spans="1:20" ht="15.75" customHeight="1" x14ac:dyDescent="0.25">
      <c r="A67" s="58">
        <v>1980</v>
      </c>
      <c r="B67" s="58">
        <v>12</v>
      </c>
      <c r="C67" s="59">
        <f t="shared" si="4"/>
        <v>8.6666666666666661</v>
      </c>
      <c r="D67" s="59">
        <f t="shared" si="5"/>
        <v>104</v>
      </c>
      <c r="E67" s="54">
        <v>315.63</v>
      </c>
      <c r="F67" s="54">
        <f t="shared" si="6"/>
        <v>36.418846153846154</v>
      </c>
      <c r="G67" s="60">
        <f t="shared" si="7"/>
        <v>2.7458310891444623E-2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52</v>
      </c>
      <c r="T67" s="54">
        <v>52</v>
      </c>
    </row>
    <row r="68" spans="1:20" ht="15.75" customHeight="1" x14ac:dyDescent="0.25">
      <c r="A68" s="58">
        <v>1981</v>
      </c>
      <c r="B68" s="58">
        <v>12</v>
      </c>
      <c r="C68" s="59">
        <f t="shared" si="4"/>
        <v>8.6666666666666661</v>
      </c>
      <c r="D68" s="59">
        <f t="shared" si="5"/>
        <v>104</v>
      </c>
      <c r="E68" s="54">
        <v>315.63</v>
      </c>
      <c r="F68" s="54">
        <f t="shared" si="6"/>
        <v>36.418846153846154</v>
      </c>
      <c r="G68" s="60">
        <f t="shared" si="7"/>
        <v>2.7458310891444623E-2</v>
      </c>
      <c r="I68" s="54">
        <v>52</v>
      </c>
      <c r="J68" s="54">
        <v>52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</row>
    <row r="69" spans="1:20" ht="15.75" customHeight="1" x14ac:dyDescent="0.25">
      <c r="A69" s="58">
        <v>1982</v>
      </c>
      <c r="B69" s="58">
        <v>12</v>
      </c>
      <c r="C69" s="59">
        <f t="shared" si="4"/>
        <v>37.666666666666664</v>
      </c>
      <c r="D69" s="59">
        <f t="shared" si="5"/>
        <v>452</v>
      </c>
      <c r="E69" s="54">
        <v>315.63</v>
      </c>
      <c r="F69" s="54">
        <f t="shared" si="6"/>
        <v>8.3795575221238945</v>
      </c>
      <c r="G69" s="60">
        <f t="shared" si="7"/>
        <v>0.11933804348974009</v>
      </c>
      <c r="I69" s="54">
        <v>0</v>
      </c>
      <c r="J69" s="54">
        <v>0</v>
      </c>
      <c r="K69" s="54">
        <v>56.5</v>
      </c>
      <c r="L69" s="54">
        <v>56.5</v>
      </c>
      <c r="M69" s="54">
        <v>56.5</v>
      </c>
      <c r="N69" s="54">
        <v>56.5</v>
      </c>
      <c r="O69" s="54">
        <v>56.5</v>
      </c>
      <c r="P69" s="54">
        <v>56.5</v>
      </c>
      <c r="Q69" s="54">
        <v>56.5</v>
      </c>
      <c r="R69" s="54">
        <v>56.5</v>
      </c>
      <c r="S69" s="54">
        <v>0</v>
      </c>
      <c r="T69" s="54">
        <v>0</v>
      </c>
    </row>
    <row r="70" spans="1:20" ht="15.75" customHeight="1" x14ac:dyDescent="0.25">
      <c r="A70" s="58">
        <v>1983</v>
      </c>
      <c r="B70" s="58">
        <v>12</v>
      </c>
      <c r="C70" s="59">
        <f t="shared" si="4"/>
        <v>10</v>
      </c>
      <c r="D70" s="59">
        <f t="shared" si="5"/>
        <v>120</v>
      </c>
      <c r="E70" s="54">
        <v>315.63</v>
      </c>
      <c r="F70" s="54">
        <f t="shared" si="6"/>
        <v>31.562999999999999</v>
      </c>
      <c r="G70" s="60">
        <f t="shared" si="7"/>
        <v>3.1682666413205336E-2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60</v>
      </c>
      <c r="T70" s="54">
        <v>60</v>
      </c>
    </row>
    <row r="71" spans="1:20" ht="15.75" customHeight="1" x14ac:dyDescent="0.25">
      <c r="A71" s="58">
        <v>1984</v>
      </c>
      <c r="B71" s="58">
        <v>12</v>
      </c>
      <c r="C71" s="59">
        <f t="shared" si="4"/>
        <v>10</v>
      </c>
      <c r="D71" s="59">
        <f t="shared" si="5"/>
        <v>120</v>
      </c>
      <c r="E71" s="54">
        <v>315.63</v>
      </c>
      <c r="F71" s="54">
        <f t="shared" si="6"/>
        <v>31.562999999999999</v>
      </c>
      <c r="G71" s="60">
        <f t="shared" si="7"/>
        <v>3.1682666413205336E-2</v>
      </c>
      <c r="I71" s="54">
        <v>60</v>
      </c>
      <c r="J71" s="54">
        <v>60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</row>
    <row r="72" spans="1:20" ht="15.75" customHeight="1" x14ac:dyDescent="0.25">
      <c r="A72" s="58">
        <v>1985</v>
      </c>
      <c r="B72" s="58">
        <v>12</v>
      </c>
      <c r="C72" s="59">
        <f t="shared" si="4"/>
        <v>41.333333333333336</v>
      </c>
      <c r="D72" s="59">
        <f t="shared" si="5"/>
        <v>496</v>
      </c>
      <c r="E72" s="54">
        <v>315.63</v>
      </c>
      <c r="F72" s="54">
        <f t="shared" si="6"/>
        <v>7.6362096774193544</v>
      </c>
      <c r="G72" s="60">
        <f t="shared" si="7"/>
        <v>0.13095502117458208</v>
      </c>
      <c r="I72" s="54">
        <v>0</v>
      </c>
      <c r="J72" s="54">
        <v>0</v>
      </c>
      <c r="K72" s="54">
        <v>62</v>
      </c>
      <c r="L72" s="54">
        <v>62</v>
      </c>
      <c r="M72" s="54">
        <v>62</v>
      </c>
      <c r="N72" s="54">
        <v>62</v>
      </c>
      <c r="O72" s="54">
        <v>62</v>
      </c>
      <c r="P72" s="54">
        <v>62</v>
      </c>
      <c r="Q72" s="54">
        <v>62</v>
      </c>
      <c r="R72" s="54">
        <v>62</v>
      </c>
      <c r="S72" s="54">
        <v>0</v>
      </c>
      <c r="T72" s="54">
        <v>0</v>
      </c>
    </row>
    <row r="73" spans="1:20" ht="15.75" customHeight="1" x14ac:dyDescent="0.25">
      <c r="A73" s="58">
        <v>1986</v>
      </c>
      <c r="B73" s="58">
        <v>12</v>
      </c>
      <c r="C73" s="59">
        <f t="shared" si="4"/>
        <v>18.333333333333332</v>
      </c>
      <c r="D73" s="59">
        <f t="shared" si="5"/>
        <v>220</v>
      </c>
      <c r="E73" s="54">
        <v>315.63</v>
      </c>
      <c r="F73" s="54">
        <f t="shared" si="6"/>
        <v>17.21618181818182</v>
      </c>
      <c r="G73" s="60">
        <f t="shared" si="7"/>
        <v>5.808488842420978E-2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110</v>
      </c>
      <c r="T73" s="54">
        <v>110</v>
      </c>
    </row>
    <row r="74" spans="1:20" ht="15.75" customHeight="1" x14ac:dyDescent="0.25">
      <c r="A74" s="58">
        <v>1987</v>
      </c>
      <c r="B74" s="58">
        <v>12</v>
      </c>
      <c r="C74" s="59">
        <f t="shared" si="4"/>
        <v>18.333333333333332</v>
      </c>
      <c r="D74" s="59">
        <f t="shared" si="5"/>
        <v>220</v>
      </c>
      <c r="E74" s="54">
        <v>315.63</v>
      </c>
      <c r="F74" s="54">
        <f t="shared" si="6"/>
        <v>17.21618181818182</v>
      </c>
      <c r="G74" s="60">
        <f t="shared" si="7"/>
        <v>5.808488842420978E-2</v>
      </c>
      <c r="I74" s="54">
        <v>110</v>
      </c>
      <c r="J74" s="54">
        <v>110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/>
      <c r="T74" s="54"/>
    </row>
    <row r="75" spans="1:20" ht="15.75" customHeight="1" x14ac:dyDescent="0.25">
      <c r="A75" s="58">
        <v>1988</v>
      </c>
      <c r="B75" s="58">
        <v>12</v>
      </c>
      <c r="C75" s="59">
        <f t="shared" si="4"/>
        <v>0</v>
      </c>
      <c r="D75" s="59">
        <f t="shared" si="5"/>
        <v>0</v>
      </c>
      <c r="E75" s="54">
        <v>315.63</v>
      </c>
      <c r="F75" s="54" t="e">
        <f t="shared" si="6"/>
        <v>#DIV/0!</v>
      </c>
      <c r="G75" s="60">
        <f t="shared" si="7"/>
        <v>0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0</v>
      </c>
      <c r="T75" s="54">
        <v>0</v>
      </c>
    </row>
    <row r="76" spans="1:20" ht="15.75" customHeight="1" x14ac:dyDescent="0.25">
      <c r="A76" s="58">
        <v>1989</v>
      </c>
      <c r="B76" s="58">
        <v>12</v>
      </c>
      <c r="C76" s="59">
        <f t="shared" si="4"/>
        <v>25</v>
      </c>
      <c r="D76" s="59">
        <f>SUM(I76:T76)</f>
        <v>300</v>
      </c>
      <c r="E76" s="54">
        <v>315.63</v>
      </c>
      <c r="F76" s="54">
        <f t="shared" si="6"/>
        <v>12.6252</v>
      </c>
      <c r="G76" s="60">
        <f t="shared" si="7"/>
        <v>7.9206666033013337E-2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49">
        <v>150</v>
      </c>
      <c r="T76" s="49">
        <v>150</v>
      </c>
    </row>
    <row r="77" spans="1:20" s="53" customFormat="1" ht="15.75" customHeight="1" x14ac:dyDescent="0.25">
      <c r="A77" s="50">
        <v>1990</v>
      </c>
      <c r="B77" s="50">
        <v>12</v>
      </c>
      <c r="C77" s="51">
        <f t="shared" ref="C77:C92" si="8">D77/B77</f>
        <v>155.16666666666666</v>
      </c>
      <c r="D77" s="51">
        <f t="shared" ref="D77:D92" si="9">SUM(I77:T77)</f>
        <v>1862</v>
      </c>
      <c r="E77" s="49">
        <v>1409.17</v>
      </c>
      <c r="F77" s="49">
        <f t="shared" ref="F77:F92" si="10">E77/C77</f>
        <v>9.0816541353383471</v>
      </c>
      <c r="G77" s="52">
        <f t="shared" ref="G77:G92" si="11">C77/E77</f>
        <v>0.11011209908433095</v>
      </c>
      <c r="I77" s="49">
        <v>150</v>
      </c>
      <c r="J77" s="49">
        <v>150</v>
      </c>
      <c r="K77" s="49">
        <v>159</v>
      </c>
      <c r="L77" s="49">
        <v>159</v>
      </c>
      <c r="M77" s="49">
        <v>159</v>
      </c>
      <c r="N77" s="49">
        <v>159</v>
      </c>
      <c r="O77" s="49">
        <v>159</v>
      </c>
      <c r="P77" s="49">
        <v>159</v>
      </c>
      <c r="Q77" s="49">
        <v>159</v>
      </c>
      <c r="R77" s="49">
        <v>159</v>
      </c>
      <c r="S77" s="49">
        <v>145</v>
      </c>
      <c r="T77" s="49">
        <v>145</v>
      </c>
    </row>
    <row r="78" spans="1:20" s="53" customFormat="1" ht="15.75" customHeight="1" x14ac:dyDescent="0.25">
      <c r="A78" s="50">
        <v>1991</v>
      </c>
      <c r="B78" s="50">
        <v>12</v>
      </c>
      <c r="C78" s="51">
        <f t="shared" si="8"/>
        <v>150.16666666666666</v>
      </c>
      <c r="D78" s="51">
        <f t="shared" si="9"/>
        <v>1802</v>
      </c>
      <c r="E78" s="49">
        <v>1409.17</v>
      </c>
      <c r="F78" s="49">
        <f t="shared" si="10"/>
        <v>9.3840399556048837</v>
      </c>
      <c r="G78" s="52">
        <f t="shared" si="11"/>
        <v>0.10656391114391213</v>
      </c>
      <c r="I78" s="49">
        <v>145</v>
      </c>
      <c r="J78" s="49">
        <v>145</v>
      </c>
      <c r="K78" s="49">
        <v>154</v>
      </c>
      <c r="L78" s="49">
        <v>154</v>
      </c>
      <c r="M78" s="49">
        <v>154</v>
      </c>
      <c r="N78" s="49">
        <v>154</v>
      </c>
      <c r="O78" s="49">
        <v>154</v>
      </c>
      <c r="P78" s="49">
        <v>154</v>
      </c>
      <c r="Q78" s="49">
        <v>154</v>
      </c>
      <c r="R78" s="49">
        <v>154</v>
      </c>
      <c r="S78" s="49">
        <v>140</v>
      </c>
      <c r="T78" s="49">
        <v>140</v>
      </c>
    </row>
    <row r="79" spans="1:20" s="53" customFormat="1" ht="15.75" customHeight="1" x14ac:dyDescent="0.25">
      <c r="A79" s="50">
        <v>1992</v>
      </c>
      <c r="B79" s="50">
        <v>12</v>
      </c>
      <c r="C79" s="51">
        <f t="shared" si="8"/>
        <v>141.83333333333334</v>
      </c>
      <c r="D79" s="51">
        <f t="shared" si="9"/>
        <v>1702</v>
      </c>
      <c r="E79" s="49">
        <v>1409.17</v>
      </c>
      <c r="F79" s="49">
        <f t="shared" si="10"/>
        <v>9.9353936545240895</v>
      </c>
      <c r="G79" s="52">
        <f t="shared" si="11"/>
        <v>0.10065026457654742</v>
      </c>
      <c r="I79" s="49">
        <v>140</v>
      </c>
      <c r="J79" s="49">
        <v>140</v>
      </c>
      <c r="K79" s="49">
        <v>149</v>
      </c>
      <c r="L79" s="49">
        <v>149</v>
      </c>
      <c r="M79" s="49">
        <v>149</v>
      </c>
      <c r="N79" s="49">
        <v>149</v>
      </c>
      <c r="O79" s="49">
        <v>149</v>
      </c>
      <c r="P79" s="49">
        <v>149</v>
      </c>
      <c r="Q79" s="49">
        <v>149</v>
      </c>
      <c r="R79" s="49">
        <v>149</v>
      </c>
      <c r="S79" s="49">
        <v>115</v>
      </c>
      <c r="T79" s="49">
        <v>115</v>
      </c>
    </row>
    <row r="80" spans="1:20" s="53" customFormat="1" ht="15.75" customHeight="1" x14ac:dyDescent="0.25">
      <c r="A80" s="50">
        <v>1993</v>
      </c>
      <c r="B80" s="50">
        <v>12</v>
      </c>
      <c r="C80" s="51">
        <f t="shared" si="8"/>
        <v>122.16666666666667</v>
      </c>
      <c r="D80" s="51">
        <f t="shared" si="9"/>
        <v>1466</v>
      </c>
      <c r="E80" s="49">
        <v>1409.17</v>
      </c>
      <c r="F80" s="49">
        <f t="shared" si="10"/>
        <v>11.534815825375171</v>
      </c>
      <c r="G80" s="52">
        <f t="shared" si="11"/>
        <v>8.6694058677566702E-2</v>
      </c>
      <c r="I80" s="49">
        <v>115</v>
      </c>
      <c r="J80" s="49">
        <v>115</v>
      </c>
      <c r="K80" s="49">
        <v>127</v>
      </c>
      <c r="L80" s="49">
        <v>127</v>
      </c>
      <c r="M80" s="49">
        <v>127</v>
      </c>
      <c r="N80" s="49">
        <v>127</v>
      </c>
      <c r="O80" s="49">
        <v>127</v>
      </c>
      <c r="P80" s="49">
        <v>127</v>
      </c>
      <c r="Q80" s="49">
        <v>127</v>
      </c>
      <c r="R80" s="49">
        <v>127</v>
      </c>
      <c r="S80" s="49">
        <v>110</v>
      </c>
      <c r="T80" s="49">
        <v>110</v>
      </c>
    </row>
    <row r="81" spans="1:20" s="53" customFormat="1" ht="15.75" customHeight="1" x14ac:dyDescent="0.25">
      <c r="A81" s="50">
        <v>1994</v>
      </c>
      <c r="B81" s="50">
        <v>12</v>
      </c>
      <c r="C81" s="51">
        <f t="shared" si="8"/>
        <v>116.16666666666667</v>
      </c>
      <c r="D81" s="51">
        <f t="shared" si="9"/>
        <v>1394</v>
      </c>
      <c r="E81" s="49">
        <v>1409.17</v>
      </c>
      <c r="F81" s="49">
        <f t="shared" si="10"/>
        <v>12.130588235294118</v>
      </c>
      <c r="G81" s="52">
        <f t="shared" si="11"/>
        <v>8.2436233149064106E-2</v>
      </c>
      <c r="I81" s="49">
        <v>110</v>
      </c>
      <c r="J81" s="49">
        <v>110</v>
      </c>
      <c r="K81" s="49">
        <v>120.5</v>
      </c>
      <c r="L81" s="49">
        <v>120.5</v>
      </c>
      <c r="M81" s="49">
        <v>120.5</v>
      </c>
      <c r="N81" s="49">
        <v>120.5</v>
      </c>
      <c r="O81" s="49">
        <v>120.5</v>
      </c>
      <c r="P81" s="49">
        <v>120.5</v>
      </c>
      <c r="Q81" s="49">
        <v>120.5</v>
      </c>
      <c r="R81" s="49">
        <v>120.5</v>
      </c>
      <c r="S81" s="49">
        <v>105</v>
      </c>
      <c r="T81" s="49">
        <v>105</v>
      </c>
    </row>
    <row r="82" spans="1:20" s="53" customFormat="1" ht="15.75" customHeight="1" x14ac:dyDescent="0.25">
      <c r="A82" s="50">
        <v>1995</v>
      </c>
      <c r="B82" s="50">
        <v>12</v>
      </c>
      <c r="C82" s="51">
        <f t="shared" si="8"/>
        <v>111.16666666666667</v>
      </c>
      <c r="D82" s="51">
        <f t="shared" si="9"/>
        <v>1334</v>
      </c>
      <c r="E82" s="49">
        <v>1409.17</v>
      </c>
      <c r="F82" s="49">
        <f t="shared" si="10"/>
        <v>12.676191904047975</v>
      </c>
      <c r="G82" s="52">
        <f t="shared" si="11"/>
        <v>7.8888045208645272E-2</v>
      </c>
      <c r="I82" s="49">
        <v>105</v>
      </c>
      <c r="J82" s="49">
        <v>105</v>
      </c>
      <c r="K82" s="49">
        <v>115.5</v>
      </c>
      <c r="L82" s="49">
        <v>115.5</v>
      </c>
      <c r="M82" s="49">
        <v>115.5</v>
      </c>
      <c r="N82" s="49">
        <v>115.5</v>
      </c>
      <c r="O82" s="49">
        <v>115.5</v>
      </c>
      <c r="P82" s="49">
        <v>115.5</v>
      </c>
      <c r="Q82" s="49">
        <v>115.5</v>
      </c>
      <c r="R82" s="49">
        <v>115.5</v>
      </c>
      <c r="S82" s="49">
        <v>100</v>
      </c>
      <c r="T82" s="49">
        <v>100</v>
      </c>
    </row>
    <row r="83" spans="1:20" s="53" customFormat="1" ht="15.75" customHeight="1" x14ac:dyDescent="0.25">
      <c r="A83" s="50">
        <v>1996</v>
      </c>
      <c r="B83" s="50">
        <v>12</v>
      </c>
      <c r="C83" s="51">
        <f t="shared" si="8"/>
        <v>108.75</v>
      </c>
      <c r="D83" s="51">
        <f t="shared" si="9"/>
        <v>1305</v>
      </c>
      <c r="E83" s="49">
        <v>1409.17</v>
      </c>
      <c r="F83" s="49">
        <f t="shared" si="10"/>
        <v>12.957885057471264</v>
      </c>
      <c r="G83" s="52">
        <f t="shared" si="11"/>
        <v>7.7173087704109508E-2</v>
      </c>
      <c r="I83" s="49">
        <v>100</v>
      </c>
      <c r="J83" s="49">
        <v>100</v>
      </c>
      <c r="K83" s="49">
        <v>110.5</v>
      </c>
      <c r="L83" s="49">
        <v>110.5</v>
      </c>
      <c r="M83" s="49">
        <v>110.5</v>
      </c>
      <c r="N83" s="49">
        <v>110.5</v>
      </c>
      <c r="O83" s="49">
        <v>110.5</v>
      </c>
      <c r="P83" s="49">
        <v>110.5</v>
      </c>
      <c r="Q83" s="49">
        <v>110.5</v>
      </c>
      <c r="R83" s="49">
        <v>110.5</v>
      </c>
      <c r="S83" s="49">
        <v>110.5</v>
      </c>
      <c r="T83" s="49">
        <v>110.5</v>
      </c>
    </row>
    <row r="84" spans="1:20" s="53" customFormat="1" ht="15.75" customHeight="1" x14ac:dyDescent="0.25">
      <c r="A84" s="50">
        <v>1997</v>
      </c>
      <c r="B84" s="50">
        <v>12</v>
      </c>
      <c r="C84" s="51">
        <f t="shared" si="8"/>
        <v>108.58333333333333</v>
      </c>
      <c r="D84" s="51">
        <f t="shared" si="9"/>
        <v>1303</v>
      </c>
      <c r="E84" s="49">
        <v>1409.17</v>
      </c>
      <c r="F84" s="49">
        <f t="shared" si="10"/>
        <v>12.977774366845741</v>
      </c>
      <c r="G84" s="52">
        <f t="shared" si="11"/>
        <v>7.7054814772762215E-2</v>
      </c>
      <c r="I84" s="49">
        <v>110.5</v>
      </c>
      <c r="J84" s="49">
        <v>110.5</v>
      </c>
      <c r="K84" s="49">
        <v>110.5</v>
      </c>
      <c r="L84" s="49">
        <v>110.5</v>
      </c>
      <c r="M84" s="49">
        <v>110.5</v>
      </c>
      <c r="N84" s="49">
        <v>110.5</v>
      </c>
      <c r="O84" s="49">
        <v>110.5</v>
      </c>
      <c r="P84" s="49">
        <v>110.5</v>
      </c>
      <c r="Q84" s="49">
        <v>110.5</v>
      </c>
      <c r="R84" s="49">
        <v>110.5</v>
      </c>
      <c r="S84" s="49">
        <v>99</v>
      </c>
      <c r="T84" s="49">
        <v>99</v>
      </c>
    </row>
    <row r="85" spans="1:20" s="53" customFormat="1" ht="15.75" customHeight="1" x14ac:dyDescent="0.25">
      <c r="A85" s="50">
        <v>1998</v>
      </c>
      <c r="B85" s="50">
        <v>12</v>
      </c>
      <c r="C85" s="51">
        <f t="shared" si="8"/>
        <v>99.166666666666671</v>
      </c>
      <c r="D85" s="51">
        <f t="shared" si="9"/>
        <v>1190</v>
      </c>
      <c r="E85" s="49">
        <v>1409.17</v>
      </c>
      <c r="F85" s="49">
        <f t="shared" si="10"/>
        <v>14.210117647058823</v>
      </c>
      <c r="G85" s="52">
        <f t="shared" si="11"/>
        <v>7.0372394151640094E-2</v>
      </c>
      <c r="I85" s="49">
        <v>99</v>
      </c>
      <c r="J85" s="49">
        <v>99</v>
      </c>
      <c r="K85" s="49">
        <v>99</v>
      </c>
      <c r="L85" s="49">
        <v>99</v>
      </c>
      <c r="M85" s="49">
        <v>99</v>
      </c>
      <c r="N85" s="49">
        <v>99</v>
      </c>
      <c r="O85" s="49">
        <v>99</v>
      </c>
      <c r="P85" s="49">
        <v>99</v>
      </c>
      <c r="Q85" s="49">
        <v>99</v>
      </c>
      <c r="R85" s="49">
        <v>99</v>
      </c>
      <c r="S85" s="49">
        <v>100</v>
      </c>
      <c r="T85" s="49">
        <v>100</v>
      </c>
    </row>
    <row r="86" spans="1:20" s="53" customFormat="1" ht="15.75" customHeight="1" x14ac:dyDescent="0.25">
      <c r="A86" s="50">
        <v>1999</v>
      </c>
      <c r="B86" s="50">
        <v>12</v>
      </c>
      <c r="C86" s="51">
        <f t="shared" si="8"/>
        <v>104.5</v>
      </c>
      <c r="D86" s="51">
        <f t="shared" si="9"/>
        <v>1254</v>
      </c>
      <c r="E86" s="49">
        <v>1409.17</v>
      </c>
      <c r="F86" s="49">
        <f t="shared" si="10"/>
        <v>13.48488038277512</v>
      </c>
      <c r="G86" s="52">
        <f t="shared" si="11"/>
        <v>7.4157127954753502E-2</v>
      </c>
      <c r="I86" s="49">
        <v>100</v>
      </c>
      <c r="J86" s="49">
        <v>100</v>
      </c>
      <c r="K86" s="49">
        <v>109</v>
      </c>
      <c r="L86" s="49">
        <v>109</v>
      </c>
      <c r="M86" s="49">
        <v>109</v>
      </c>
      <c r="N86" s="49">
        <v>109</v>
      </c>
      <c r="O86" s="49">
        <v>109</v>
      </c>
      <c r="P86" s="49">
        <v>109</v>
      </c>
      <c r="Q86" s="49">
        <v>100</v>
      </c>
      <c r="R86" s="49">
        <v>100</v>
      </c>
      <c r="S86" s="49">
        <v>100</v>
      </c>
      <c r="T86" s="49">
        <v>100</v>
      </c>
    </row>
    <row r="87" spans="1:20" s="53" customFormat="1" ht="15.75" customHeight="1" x14ac:dyDescent="0.25">
      <c r="A87" s="50">
        <v>2000</v>
      </c>
      <c r="B87" s="50">
        <v>12</v>
      </c>
      <c r="C87" s="51">
        <f t="shared" si="8"/>
        <v>104.5</v>
      </c>
      <c r="D87" s="51">
        <f t="shared" si="9"/>
        <v>1254</v>
      </c>
      <c r="E87" s="49">
        <v>1409.17</v>
      </c>
      <c r="F87" s="49">
        <f t="shared" si="10"/>
        <v>13.48488038277512</v>
      </c>
      <c r="G87" s="52">
        <f t="shared" si="11"/>
        <v>7.4157127954753502E-2</v>
      </c>
      <c r="I87" s="49">
        <v>100</v>
      </c>
      <c r="J87" s="49">
        <v>100</v>
      </c>
      <c r="K87" s="49">
        <v>109</v>
      </c>
      <c r="L87" s="49">
        <v>109</v>
      </c>
      <c r="M87" s="49">
        <v>109</v>
      </c>
      <c r="N87" s="49">
        <v>109</v>
      </c>
      <c r="O87" s="49">
        <v>109</v>
      </c>
      <c r="P87" s="49">
        <v>109</v>
      </c>
      <c r="Q87" s="49">
        <v>100</v>
      </c>
      <c r="R87" s="49">
        <v>100</v>
      </c>
      <c r="S87" s="49">
        <v>100</v>
      </c>
      <c r="T87" s="49">
        <v>100</v>
      </c>
    </row>
    <row r="88" spans="1:20" s="53" customFormat="1" ht="15.75" customHeight="1" x14ac:dyDescent="0.25">
      <c r="A88" s="50">
        <v>2001</v>
      </c>
      <c r="B88" s="50">
        <v>12</v>
      </c>
      <c r="C88" s="51">
        <f t="shared" si="8"/>
        <v>105</v>
      </c>
      <c r="D88" s="51">
        <f t="shared" si="9"/>
        <v>1260</v>
      </c>
      <c r="E88" s="49">
        <v>1409.17</v>
      </c>
      <c r="F88" s="49">
        <f t="shared" si="10"/>
        <v>13.420666666666667</v>
      </c>
      <c r="G88" s="52">
        <f t="shared" si="11"/>
        <v>7.4511946748795382E-2</v>
      </c>
      <c r="I88" s="49">
        <v>100</v>
      </c>
      <c r="J88" s="49">
        <v>100</v>
      </c>
      <c r="K88" s="49">
        <v>107.5</v>
      </c>
      <c r="L88" s="49">
        <v>107.5</v>
      </c>
      <c r="M88" s="49">
        <v>107.5</v>
      </c>
      <c r="N88" s="49">
        <v>107.5</v>
      </c>
      <c r="O88" s="49">
        <v>107.5</v>
      </c>
      <c r="P88" s="49">
        <v>107.5</v>
      </c>
      <c r="Q88" s="49">
        <v>107.5</v>
      </c>
      <c r="R88" s="49">
        <v>107.5</v>
      </c>
      <c r="S88" s="49">
        <v>100</v>
      </c>
      <c r="T88" s="49">
        <v>100</v>
      </c>
    </row>
    <row r="89" spans="1:20" s="53" customFormat="1" ht="15.75" customHeight="1" x14ac:dyDescent="0.25">
      <c r="A89" s="50">
        <v>2002</v>
      </c>
      <c r="B89" s="50">
        <v>12</v>
      </c>
      <c r="C89" s="51">
        <f t="shared" si="8"/>
        <v>105</v>
      </c>
      <c r="D89" s="51">
        <f t="shared" si="9"/>
        <v>1260</v>
      </c>
      <c r="E89" s="49">
        <v>1409.17</v>
      </c>
      <c r="F89" s="49">
        <f t="shared" si="10"/>
        <v>13.420666666666667</v>
      </c>
      <c r="G89" s="52">
        <f t="shared" si="11"/>
        <v>7.4511946748795382E-2</v>
      </c>
      <c r="I89" s="49">
        <v>100</v>
      </c>
      <c r="J89" s="49">
        <v>100</v>
      </c>
      <c r="K89" s="49">
        <v>107.5</v>
      </c>
      <c r="L89" s="49">
        <v>107.5</v>
      </c>
      <c r="M89" s="49">
        <v>107.5</v>
      </c>
      <c r="N89" s="49">
        <v>107.5</v>
      </c>
      <c r="O89" s="49">
        <v>107.5</v>
      </c>
      <c r="P89" s="49">
        <v>107.5</v>
      </c>
      <c r="Q89" s="49">
        <v>107.5</v>
      </c>
      <c r="R89" s="49">
        <v>107.5</v>
      </c>
      <c r="S89" s="49">
        <v>100</v>
      </c>
      <c r="T89" s="49">
        <v>100</v>
      </c>
    </row>
    <row r="90" spans="1:20" s="53" customFormat="1" ht="15.75" customHeight="1" x14ac:dyDescent="0.25">
      <c r="A90" s="50">
        <v>2003</v>
      </c>
      <c r="B90" s="50">
        <v>12</v>
      </c>
      <c r="C90" s="51">
        <f t="shared" si="8"/>
        <v>90.520833333333329</v>
      </c>
      <c r="D90" s="51">
        <f t="shared" si="9"/>
        <v>1086.25</v>
      </c>
      <c r="E90" s="49">
        <v>1409.17</v>
      </c>
      <c r="F90" s="49">
        <f t="shared" si="10"/>
        <v>15.567355581127735</v>
      </c>
      <c r="G90" s="52">
        <f t="shared" si="11"/>
        <v>6.4236985837999194E-2</v>
      </c>
      <c r="I90" s="49">
        <v>100</v>
      </c>
      <c r="J90" s="49">
        <v>100</v>
      </c>
      <c r="K90" s="49">
        <v>107.5</v>
      </c>
      <c r="L90" s="49">
        <v>107.5</v>
      </c>
      <c r="M90" s="49">
        <v>107.5</v>
      </c>
      <c r="N90" s="49">
        <v>107.5</v>
      </c>
      <c r="O90" s="49">
        <v>107.5</v>
      </c>
      <c r="P90" s="49">
        <v>107.5</v>
      </c>
      <c r="Q90" s="49">
        <v>107.5</v>
      </c>
      <c r="R90" s="49">
        <v>107.5</v>
      </c>
      <c r="S90" s="49">
        <v>13.125</v>
      </c>
      <c r="T90" s="49">
        <v>13.125</v>
      </c>
    </row>
    <row r="91" spans="1:20" s="53" customFormat="1" ht="15.75" customHeight="1" x14ac:dyDescent="0.25">
      <c r="A91" s="50">
        <v>2004</v>
      </c>
      <c r="B91" s="50">
        <v>12</v>
      </c>
      <c r="C91" s="51">
        <f t="shared" si="8"/>
        <v>105</v>
      </c>
      <c r="D91" s="51">
        <f t="shared" si="9"/>
        <v>1260</v>
      </c>
      <c r="E91" s="49">
        <v>1409.17</v>
      </c>
      <c r="F91" s="49">
        <f t="shared" si="10"/>
        <v>13.420666666666667</v>
      </c>
      <c r="G91" s="52">
        <f t="shared" si="11"/>
        <v>7.4511946748795382E-2</v>
      </c>
      <c r="I91" s="49">
        <v>100</v>
      </c>
      <c r="J91" s="49">
        <v>100</v>
      </c>
      <c r="K91" s="49">
        <v>107.5</v>
      </c>
      <c r="L91" s="49">
        <v>107.5</v>
      </c>
      <c r="M91" s="49">
        <v>107.5</v>
      </c>
      <c r="N91" s="49">
        <v>107.5</v>
      </c>
      <c r="O91" s="49">
        <v>107.5</v>
      </c>
      <c r="P91" s="49">
        <v>107.5</v>
      </c>
      <c r="Q91" s="49">
        <v>107.5</v>
      </c>
      <c r="R91" s="49">
        <v>107.5</v>
      </c>
      <c r="S91" s="49">
        <v>100</v>
      </c>
      <c r="T91" s="49">
        <v>100</v>
      </c>
    </row>
    <row r="92" spans="1:20" s="53" customFormat="1" ht="15.75" customHeight="1" x14ac:dyDescent="0.25">
      <c r="A92" s="50">
        <v>2005</v>
      </c>
      <c r="B92" s="50">
        <v>12</v>
      </c>
      <c r="C92" s="51">
        <f t="shared" si="8"/>
        <v>93.75</v>
      </c>
      <c r="D92" s="51">
        <f t="shared" si="9"/>
        <v>1125</v>
      </c>
      <c r="E92" s="49">
        <v>1409.17</v>
      </c>
      <c r="F92" s="49">
        <f t="shared" si="10"/>
        <v>15.031146666666668</v>
      </c>
      <c r="G92" s="52">
        <f t="shared" si="11"/>
        <v>6.6528523882853019E-2</v>
      </c>
      <c r="I92" s="49">
        <v>100</v>
      </c>
      <c r="J92" s="49">
        <v>100</v>
      </c>
      <c r="K92" s="49">
        <v>107.5</v>
      </c>
      <c r="L92" s="49">
        <v>107.5</v>
      </c>
      <c r="M92" s="49">
        <v>107.5</v>
      </c>
      <c r="N92" s="49">
        <v>107.5</v>
      </c>
      <c r="O92" s="49">
        <v>107.5</v>
      </c>
      <c r="P92" s="49">
        <v>107.5</v>
      </c>
      <c r="Q92" s="49">
        <v>107.5</v>
      </c>
      <c r="R92" s="49">
        <v>107.5</v>
      </c>
      <c r="S92" s="49">
        <v>15</v>
      </c>
      <c r="T92" s="49">
        <v>50</v>
      </c>
    </row>
    <row r="93" spans="1:20" s="53" customFormat="1" ht="15.75" customHeight="1" x14ac:dyDescent="0.25">
      <c r="A93" s="50">
        <v>2006</v>
      </c>
      <c r="B93" s="50">
        <v>12</v>
      </c>
      <c r="C93" s="51">
        <f>D93/B93</f>
        <v>0</v>
      </c>
      <c r="D93" s="51">
        <f>SUM(I93:T93)</f>
        <v>0</v>
      </c>
      <c r="E93" s="49">
        <v>268.47000000000003</v>
      </c>
      <c r="F93" s="49" t="e">
        <f>E93/C93</f>
        <v>#DIV/0!</v>
      </c>
      <c r="G93" s="52">
        <f>C93/E93</f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</row>
    <row r="94" spans="1:20" s="53" customFormat="1" ht="15.75" customHeight="1" x14ac:dyDescent="0.25">
      <c r="A94" s="50">
        <v>2007</v>
      </c>
      <c r="B94" s="50">
        <v>12</v>
      </c>
      <c r="C94" s="51">
        <f t="shared" ref="C94:C97" si="12">D94/B94</f>
        <v>0</v>
      </c>
      <c r="D94" s="51">
        <f t="shared" ref="D94:D97" si="13">SUM(I94:T94)</f>
        <v>0</v>
      </c>
      <c r="E94" s="49">
        <v>268.47000000000003</v>
      </c>
      <c r="F94" s="49" t="e">
        <f t="shared" ref="F94:F97" si="14">E94/C94</f>
        <v>#DIV/0!</v>
      </c>
      <c r="G94" s="52">
        <f t="shared" ref="G94:G97" si="15">C94/E94</f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49">
        <v>0</v>
      </c>
      <c r="T94" s="49">
        <v>0</v>
      </c>
    </row>
    <row r="95" spans="1:20" s="53" customFormat="1" ht="15.75" customHeight="1" x14ac:dyDescent="0.25">
      <c r="A95" s="50">
        <v>2008</v>
      </c>
      <c r="B95" s="50">
        <v>12</v>
      </c>
      <c r="C95" s="51">
        <f t="shared" si="12"/>
        <v>0</v>
      </c>
      <c r="D95" s="51">
        <f t="shared" si="13"/>
        <v>0</v>
      </c>
      <c r="E95" s="49">
        <v>268.47000000000003</v>
      </c>
      <c r="F95" s="49" t="e">
        <f t="shared" si="14"/>
        <v>#DIV/0!</v>
      </c>
      <c r="G95" s="52">
        <f t="shared" si="15"/>
        <v>0</v>
      </c>
      <c r="I95" s="49">
        <v>0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9">
        <v>0</v>
      </c>
      <c r="T95" s="49">
        <v>0</v>
      </c>
    </row>
    <row r="96" spans="1:20" s="53" customFormat="1" ht="15.75" customHeight="1" x14ac:dyDescent="0.25">
      <c r="A96" s="50">
        <v>2009</v>
      </c>
      <c r="B96" s="50">
        <v>12</v>
      </c>
      <c r="C96" s="51">
        <f t="shared" si="12"/>
        <v>5.5750000000000002</v>
      </c>
      <c r="D96" s="51">
        <f t="shared" si="13"/>
        <v>66.900000000000006</v>
      </c>
      <c r="E96" s="49">
        <v>268.47000000000003</v>
      </c>
      <c r="F96" s="49">
        <f t="shared" si="14"/>
        <v>48.156053811659199</v>
      </c>
      <c r="G96" s="52">
        <f t="shared" si="15"/>
        <v>2.0765821134577419E-2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25.6</v>
      </c>
      <c r="O96" s="49">
        <v>41.3</v>
      </c>
      <c r="P96" s="49">
        <v>0</v>
      </c>
      <c r="Q96" s="49">
        <v>0</v>
      </c>
      <c r="R96" s="49">
        <v>0</v>
      </c>
      <c r="S96" s="49">
        <v>0</v>
      </c>
      <c r="T96" s="49">
        <v>0</v>
      </c>
    </row>
    <row r="97" spans="1:20" s="53" customFormat="1" ht="15.75" customHeight="1" x14ac:dyDescent="0.25">
      <c r="A97" s="50">
        <v>2010</v>
      </c>
      <c r="B97" s="50">
        <v>12</v>
      </c>
      <c r="C97" s="51">
        <f t="shared" si="12"/>
        <v>4.5333333333333341</v>
      </c>
      <c r="D97" s="51">
        <f t="shared" si="13"/>
        <v>54.400000000000006</v>
      </c>
      <c r="E97" s="49">
        <v>268.47000000000003</v>
      </c>
      <c r="F97" s="49">
        <f t="shared" si="14"/>
        <v>59.221323529411762</v>
      </c>
      <c r="G97" s="52">
        <f t="shared" si="15"/>
        <v>1.6885809711823793E-2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36.700000000000003</v>
      </c>
      <c r="O97" s="49">
        <v>17.7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</row>
    <row r="98" spans="1:20" s="53" customFormat="1" ht="15.75" customHeight="1" x14ac:dyDescent="0.25">
      <c r="A98" s="50">
        <v>2011</v>
      </c>
      <c r="B98" s="50">
        <v>12</v>
      </c>
      <c r="C98" s="51">
        <f t="shared" ref="C98:C107" si="16">D98/B98</f>
        <v>3.4166666666666665</v>
      </c>
      <c r="D98" s="51">
        <f t="shared" ref="D98:D107" si="17">SUM(I98:T98)</f>
        <v>41</v>
      </c>
      <c r="E98" s="49">
        <v>268.47000000000003</v>
      </c>
      <c r="F98" s="49">
        <f t="shared" ref="F98:F107" si="18">E98/C98</f>
        <v>78.576585365853674</v>
      </c>
      <c r="G98" s="52">
        <f t="shared" ref="G98:G107" si="19">C98/E98</f>
        <v>1.27264374666319E-2</v>
      </c>
      <c r="H98" s="61"/>
      <c r="I98" s="49">
        <v>0</v>
      </c>
      <c r="J98" s="49">
        <v>0</v>
      </c>
      <c r="K98" s="49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34.700000000000003</v>
      </c>
      <c r="R98" s="49">
        <v>6.3</v>
      </c>
      <c r="S98" s="49">
        <v>0</v>
      </c>
      <c r="T98" s="49">
        <v>0</v>
      </c>
    </row>
    <row r="99" spans="1:20" s="53" customFormat="1" ht="15.75" customHeight="1" x14ac:dyDescent="0.25">
      <c r="A99" s="50">
        <v>2012</v>
      </c>
      <c r="B99" s="50">
        <v>12</v>
      </c>
      <c r="C99" s="51">
        <f t="shared" si="16"/>
        <v>4.2583333333333337</v>
      </c>
      <c r="D99" s="51">
        <f t="shared" si="17"/>
        <v>51.1</v>
      </c>
      <c r="E99" s="49">
        <v>268.47000000000003</v>
      </c>
      <c r="F99" s="49">
        <f t="shared" si="18"/>
        <v>63.045792563600784</v>
      </c>
      <c r="G99" s="52">
        <f t="shared" si="19"/>
        <v>1.5861486696216835E-2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51.1</v>
      </c>
    </row>
    <row r="100" spans="1:20" s="53" customFormat="1" ht="15.75" customHeight="1" x14ac:dyDescent="0.25">
      <c r="A100" s="50">
        <v>2013</v>
      </c>
      <c r="B100" s="50">
        <v>12</v>
      </c>
      <c r="C100" s="51">
        <f t="shared" si="16"/>
        <v>3.0500000000000003</v>
      </c>
      <c r="D100" s="51">
        <f t="shared" si="17"/>
        <v>36.6</v>
      </c>
      <c r="E100" s="49">
        <v>268.47000000000003</v>
      </c>
      <c r="F100" s="49">
        <f t="shared" si="18"/>
        <v>88.022950819672133</v>
      </c>
      <c r="G100" s="52">
        <f t="shared" si="19"/>
        <v>1.1360673445822624E-2</v>
      </c>
      <c r="I100" s="49">
        <v>6.8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18.100000000000001</v>
      </c>
      <c r="Q100" s="49">
        <v>11.7</v>
      </c>
      <c r="R100" s="49">
        <v>0</v>
      </c>
      <c r="S100" s="49">
        <v>0</v>
      </c>
      <c r="T100" s="49">
        <v>0</v>
      </c>
    </row>
    <row r="101" spans="1:20" s="53" customFormat="1" ht="15.75" customHeight="1" x14ac:dyDescent="0.25">
      <c r="A101" s="50">
        <v>2014</v>
      </c>
      <c r="B101" s="50">
        <v>12</v>
      </c>
      <c r="C101" s="51">
        <f t="shared" si="16"/>
        <v>4</v>
      </c>
      <c r="D101" s="51">
        <f t="shared" si="17"/>
        <v>48</v>
      </c>
      <c r="E101" s="49">
        <v>268.47000000000003</v>
      </c>
      <c r="F101" s="49">
        <f t="shared" si="18"/>
        <v>67.117500000000007</v>
      </c>
      <c r="G101" s="52">
        <f t="shared" si="19"/>
        <v>1.4899243863373933E-2</v>
      </c>
      <c r="I101" s="49">
        <v>0</v>
      </c>
      <c r="J101" s="49">
        <v>0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42.5</v>
      </c>
      <c r="R101" s="49">
        <v>5.5</v>
      </c>
      <c r="S101" s="49">
        <v>0</v>
      </c>
      <c r="T101" s="49">
        <v>0</v>
      </c>
    </row>
    <row r="102" spans="1:20" s="53" customFormat="1" ht="15.75" customHeight="1" x14ac:dyDescent="0.25">
      <c r="A102" s="50">
        <v>2015</v>
      </c>
      <c r="B102" s="50">
        <v>12</v>
      </c>
      <c r="C102" s="51">
        <f t="shared" si="16"/>
        <v>3.0666666666666664</v>
      </c>
      <c r="D102" s="51">
        <f t="shared" si="17"/>
        <v>36.799999999999997</v>
      </c>
      <c r="E102" s="49">
        <v>268.47000000000003</v>
      </c>
      <c r="F102" s="49">
        <f t="shared" si="18"/>
        <v>87.544565217391323</v>
      </c>
      <c r="G102" s="52">
        <f t="shared" si="19"/>
        <v>1.142275362858668E-2</v>
      </c>
      <c r="I102" s="49">
        <v>0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28.7</v>
      </c>
      <c r="Q102" s="49">
        <v>8.1</v>
      </c>
      <c r="R102" s="49">
        <v>0</v>
      </c>
      <c r="S102" s="49">
        <v>0</v>
      </c>
      <c r="T102" s="49">
        <v>0</v>
      </c>
    </row>
    <row r="103" spans="1:20" s="53" customFormat="1" ht="15.75" customHeight="1" x14ac:dyDescent="0.25">
      <c r="A103" s="50">
        <v>2016</v>
      </c>
      <c r="B103" s="50">
        <v>12</v>
      </c>
      <c r="C103" s="51">
        <f t="shared" si="16"/>
        <v>5.974166666666668</v>
      </c>
      <c r="D103" s="51">
        <f t="shared" si="17"/>
        <v>71.690000000000012</v>
      </c>
      <c r="E103" s="49">
        <v>268.47000000000003</v>
      </c>
      <c r="F103" s="49">
        <f t="shared" si="18"/>
        <v>44.938485144371597</v>
      </c>
      <c r="G103" s="52">
        <f t="shared" si="19"/>
        <v>2.2252641511776614E-2</v>
      </c>
      <c r="I103" s="49">
        <v>0</v>
      </c>
      <c r="J103" s="49">
        <v>0</v>
      </c>
      <c r="K103" s="49">
        <v>0</v>
      </c>
      <c r="L103" s="49">
        <v>0</v>
      </c>
      <c r="M103" s="49">
        <v>0</v>
      </c>
      <c r="N103" s="49">
        <v>8.1999999999999993</v>
      </c>
      <c r="O103" s="49">
        <v>58.2</v>
      </c>
      <c r="P103" s="49">
        <v>5.29</v>
      </c>
      <c r="Q103" s="49">
        <v>0</v>
      </c>
      <c r="R103" s="49">
        <v>0</v>
      </c>
      <c r="S103" s="49">
        <v>0</v>
      </c>
      <c r="T103" s="49">
        <v>0</v>
      </c>
    </row>
    <row r="104" spans="1:20" s="53" customFormat="1" ht="15.75" customHeight="1" x14ac:dyDescent="0.25">
      <c r="A104" s="50">
        <v>2017</v>
      </c>
      <c r="B104" s="50">
        <v>12</v>
      </c>
      <c r="C104" s="51">
        <f t="shared" si="16"/>
        <v>2.0560833333333335</v>
      </c>
      <c r="D104" s="51">
        <f t="shared" si="17"/>
        <v>24.673000000000002</v>
      </c>
      <c r="E104" s="49">
        <v>268.47000000000003</v>
      </c>
      <c r="F104" s="49">
        <f t="shared" si="18"/>
        <v>130.57350139828964</v>
      </c>
      <c r="G104" s="52">
        <f t="shared" si="19"/>
        <v>7.6585217466880219E-3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5.4829999999999997</v>
      </c>
      <c r="P104" s="49">
        <v>19.190000000000001</v>
      </c>
      <c r="Q104" s="49">
        <v>0</v>
      </c>
      <c r="R104" s="49">
        <v>0</v>
      </c>
      <c r="S104" s="49">
        <v>0</v>
      </c>
      <c r="T104" s="49">
        <v>0</v>
      </c>
    </row>
    <row r="105" spans="1:20" s="53" customFormat="1" ht="15.75" customHeight="1" x14ac:dyDescent="0.25">
      <c r="A105" s="50">
        <v>2018</v>
      </c>
      <c r="B105" s="50">
        <v>12</v>
      </c>
      <c r="C105" s="51">
        <f t="shared" si="16"/>
        <v>4.5750000000000002</v>
      </c>
      <c r="D105" s="51">
        <f t="shared" si="17"/>
        <v>54.9</v>
      </c>
      <c r="E105" s="49">
        <v>268.47000000000003</v>
      </c>
      <c r="F105" s="49">
        <f t="shared" si="18"/>
        <v>58.68196721311476</v>
      </c>
      <c r="G105" s="52">
        <f t="shared" si="19"/>
        <v>1.7041010168733935E-2</v>
      </c>
      <c r="I105" s="49">
        <v>0</v>
      </c>
      <c r="J105" s="49">
        <v>0</v>
      </c>
      <c r="K105" s="49">
        <v>0</v>
      </c>
      <c r="L105" s="49">
        <v>0</v>
      </c>
      <c r="M105" s="49">
        <v>0</v>
      </c>
      <c r="N105" s="49">
        <v>0</v>
      </c>
      <c r="O105" s="49">
        <v>43.9</v>
      </c>
      <c r="P105" s="49">
        <v>11</v>
      </c>
      <c r="Q105" s="49">
        <v>0</v>
      </c>
      <c r="R105" s="49">
        <v>0</v>
      </c>
      <c r="S105" s="49">
        <v>0</v>
      </c>
      <c r="T105" s="49">
        <v>0</v>
      </c>
    </row>
    <row r="106" spans="1:20" s="53" customFormat="1" ht="15.75" customHeight="1" x14ac:dyDescent="0.25">
      <c r="A106" s="50">
        <v>2019</v>
      </c>
      <c r="B106" s="50">
        <v>12</v>
      </c>
      <c r="C106" s="51">
        <f t="shared" si="16"/>
        <v>2.6333333333333333</v>
      </c>
      <c r="D106" s="51">
        <f t="shared" si="17"/>
        <v>31.6</v>
      </c>
      <c r="E106" s="49">
        <v>268.47000000000003</v>
      </c>
      <c r="F106" s="49">
        <f t="shared" si="18"/>
        <v>101.95063291139242</v>
      </c>
      <c r="G106" s="52">
        <f t="shared" si="19"/>
        <v>9.8086688767211726E-3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18.7</v>
      </c>
      <c r="R106" s="49">
        <v>12.9</v>
      </c>
      <c r="S106" s="49">
        <v>0</v>
      </c>
      <c r="T106" s="49">
        <v>0</v>
      </c>
    </row>
    <row r="107" spans="1:20" s="53" customFormat="1" ht="15.75" customHeight="1" x14ac:dyDescent="0.25">
      <c r="A107" s="50">
        <v>2020</v>
      </c>
      <c r="B107" s="50">
        <v>12</v>
      </c>
      <c r="C107" s="51">
        <f t="shared" si="16"/>
        <v>2.5666666666666669</v>
      </c>
      <c r="D107" s="51">
        <f t="shared" si="17"/>
        <v>30.8</v>
      </c>
      <c r="E107" s="49">
        <v>268.47000000000003</v>
      </c>
      <c r="F107" s="49">
        <f t="shared" si="18"/>
        <v>104.5987012987013</v>
      </c>
      <c r="G107" s="52">
        <f t="shared" si="19"/>
        <v>9.5603481456649399E-3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30.8</v>
      </c>
      <c r="R107" s="49">
        <v>0</v>
      </c>
      <c r="S107" s="49">
        <v>0</v>
      </c>
      <c r="T107" s="49">
        <v>0</v>
      </c>
    </row>
    <row r="108" spans="1:20" ht="15.75" customHeight="1" x14ac:dyDescent="0.25">
      <c r="A108" s="50">
        <v>2021</v>
      </c>
      <c r="B108" s="50">
        <v>12</v>
      </c>
      <c r="C108" s="51">
        <f t="shared" ref="C108" si="20">D108/B108</f>
        <v>2.8083333333333336</v>
      </c>
      <c r="D108" s="51">
        <f t="shared" ref="D108" si="21">SUM(I108:T108)</f>
        <v>33.700000000000003</v>
      </c>
      <c r="E108" s="49">
        <v>268.47000000000003</v>
      </c>
      <c r="F108" s="49">
        <f t="shared" ref="F108" si="22">E108/C108</f>
        <v>95.597626112759642</v>
      </c>
      <c r="G108" s="52">
        <f t="shared" ref="G108" si="23">C108/E108</f>
        <v>1.0460510795743783E-2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22.7</v>
      </c>
      <c r="R108" s="54">
        <v>11</v>
      </c>
      <c r="S108" s="54">
        <v>0</v>
      </c>
      <c r="T108" s="54">
        <v>0</v>
      </c>
    </row>
    <row r="109" spans="1:20" ht="15.75" customHeight="1" x14ac:dyDescent="0.25">
      <c r="A109" s="50">
        <v>2022</v>
      </c>
      <c r="B109" s="50">
        <v>12</v>
      </c>
      <c r="C109" s="51">
        <f t="shared" ref="C109" si="24">D109/B109</f>
        <v>3.3083333333333336</v>
      </c>
      <c r="D109" s="51">
        <f t="shared" ref="D109" si="25">SUM(I109:T109)</f>
        <v>39.700000000000003</v>
      </c>
      <c r="E109" s="49">
        <v>268.47000000000003</v>
      </c>
      <c r="F109" s="49">
        <f t="shared" ref="F109" si="26">E109/C109</f>
        <v>81.149622166246857</v>
      </c>
      <c r="G109" s="52">
        <f t="shared" ref="G109" si="27">C109/E109</f>
        <v>1.2322916278665524E-2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39.700000000000003</v>
      </c>
      <c r="Q109" s="54">
        <v>0</v>
      </c>
      <c r="R109" s="54">
        <v>0</v>
      </c>
      <c r="S109" s="54">
        <v>0</v>
      </c>
      <c r="T109" s="54">
        <v>0</v>
      </c>
    </row>
    <row r="110" spans="1:20" ht="15.75" customHeight="1" x14ac:dyDescent="0.25">
      <c r="A110" s="50">
        <v>2023</v>
      </c>
      <c r="B110" s="50">
        <v>12</v>
      </c>
      <c r="C110" s="51">
        <f t="shared" ref="C110" si="28">D110/B110</f>
        <v>2.4666666666666668</v>
      </c>
      <c r="D110" s="51">
        <f t="shared" ref="D110" si="29">SUM(I110:T110)</f>
        <v>29.6</v>
      </c>
      <c r="E110" s="49">
        <v>268.47000000000003</v>
      </c>
      <c r="F110" s="49">
        <f t="shared" ref="F110" si="30">E110/C110</f>
        <v>108.8391891891892</v>
      </c>
      <c r="G110" s="52">
        <f t="shared" ref="G110" si="31">C110/E110</f>
        <v>9.1878670490805926E-3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29.6</v>
      </c>
      <c r="R110" s="54">
        <v>0</v>
      </c>
      <c r="S110" s="54">
        <v>0</v>
      </c>
      <c r="T110" s="54">
        <v>0</v>
      </c>
    </row>
    <row r="111" spans="1:20" ht="15.75" customHeight="1" x14ac:dyDescent="0.25">
      <c r="A111" s="50">
        <v>2024</v>
      </c>
      <c r="B111" s="50">
        <v>12</v>
      </c>
      <c r="C111" s="51">
        <f t="shared" ref="C111" si="32">D111/B111</f>
        <v>2.6444444444444444</v>
      </c>
      <c r="D111" s="51">
        <f t="shared" ref="D111" si="33">SUM(I111:T111)</f>
        <v>31.733333333333334</v>
      </c>
      <c r="E111" s="49">
        <v>268.47000000000003</v>
      </c>
      <c r="F111" s="49">
        <f t="shared" ref="F111" si="34">E111/C111</f>
        <v>101.52226890756303</v>
      </c>
      <c r="G111" s="52">
        <f t="shared" ref="G111" si="35">C111/E111</f>
        <v>9.8500556652305442E-3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31.733333333333334</v>
      </c>
      <c r="R111" s="54">
        <v>0</v>
      </c>
      <c r="S111" s="54">
        <v>0</v>
      </c>
      <c r="T111" s="54">
        <v>0</v>
      </c>
    </row>
    <row r="112" spans="1:20" ht="15.75" customHeight="1" x14ac:dyDescent="0.25">
      <c r="A112" s="50">
        <v>2025</v>
      </c>
      <c r="B112" s="50">
        <v>12</v>
      </c>
      <c r="C112" s="51">
        <f t="shared" ref="C112" si="36">D112/B112</f>
        <v>6.3999999999999995</v>
      </c>
      <c r="D112" s="51">
        <f t="shared" ref="D112" si="37">SUM(I112:T112)</f>
        <v>76.8</v>
      </c>
      <c r="E112" s="49">
        <v>268.47000000000003</v>
      </c>
      <c r="F112" s="49">
        <f t="shared" ref="F112" si="38">E112/C112</f>
        <v>41.948437500000004</v>
      </c>
      <c r="G112" s="52">
        <f t="shared" ref="G112" si="39">C112/E112</f>
        <v>2.3838790181398291E-2</v>
      </c>
      <c r="I112" s="54">
        <v>0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76.8</v>
      </c>
      <c r="R112" s="54">
        <v>0</v>
      </c>
      <c r="S112" s="54">
        <v>0</v>
      </c>
      <c r="T112" s="54">
        <v>0</v>
      </c>
    </row>
  </sheetData>
  <mergeCells count="2">
    <mergeCell ref="A1:G1"/>
    <mergeCell ref="I1:T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4</vt:i4>
      </vt:variant>
    </vt:vector>
  </HeadingPairs>
  <TitlesOfParts>
    <vt:vector size="40" baseType="lpstr">
      <vt:lpstr>Total AUY per ha</vt:lpstr>
      <vt:lpstr>Percent Area</vt:lpstr>
      <vt:lpstr>Pasture 1</vt:lpstr>
      <vt:lpstr>Pasture 2N</vt:lpstr>
      <vt:lpstr>Pasture 2SW</vt:lpstr>
      <vt:lpstr>UA Cell A</vt:lpstr>
      <vt:lpstr>UA Cell B</vt:lpstr>
      <vt:lpstr>UA Cell C</vt:lpstr>
      <vt:lpstr>UA Cell D</vt:lpstr>
      <vt:lpstr>UA Cell E</vt:lpstr>
      <vt:lpstr>UA Cell F</vt:lpstr>
      <vt:lpstr>UA Cell G</vt:lpstr>
      <vt:lpstr>UA Cell H</vt:lpstr>
      <vt:lpstr>Pasture 3</vt:lpstr>
      <vt:lpstr>Pasture 4</vt:lpstr>
      <vt:lpstr>Pasture 5N</vt:lpstr>
      <vt:lpstr>Pasture 5Mid</vt:lpstr>
      <vt:lpstr>Pasture 5S</vt:lpstr>
      <vt:lpstr>Pasture 6A</vt:lpstr>
      <vt:lpstr>Pasture 6B</vt:lpstr>
      <vt:lpstr>Pasture 6C</vt:lpstr>
      <vt:lpstr>Pasture 6D</vt:lpstr>
      <vt:lpstr>Pasture 6E</vt:lpstr>
      <vt:lpstr>Pasture 8</vt:lpstr>
      <vt:lpstr>Pasture 9</vt:lpstr>
      <vt:lpstr>Pasture 10</vt:lpstr>
      <vt:lpstr>Pasture 11A</vt:lpstr>
      <vt:lpstr>Pasture 11B</vt:lpstr>
      <vt:lpstr>Pasture 11C</vt:lpstr>
      <vt:lpstr>Pasture 12A</vt:lpstr>
      <vt:lpstr>Pasture 12B</vt:lpstr>
      <vt:lpstr>Pasture 12C</vt:lpstr>
      <vt:lpstr>Pasture 12D</vt:lpstr>
      <vt:lpstr>Pasture 12E</vt:lpstr>
      <vt:lpstr>Pasture 15</vt:lpstr>
      <vt:lpstr>Pasture 140</vt:lpstr>
      <vt:lpstr>'Pasture 1'!Print_Area</vt:lpstr>
      <vt:lpstr>'Pasture 2SW'!Print_Area</vt:lpstr>
      <vt:lpstr>'Pasture 3'!Print_Area</vt:lpstr>
      <vt:lpstr>'Pasture 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Dalke</dc:creator>
  <cp:lastModifiedBy>Gorlier, Alessandra - (agorlier)</cp:lastModifiedBy>
  <dcterms:created xsi:type="dcterms:W3CDTF">2011-07-03T21:01:21Z</dcterms:created>
  <dcterms:modified xsi:type="dcterms:W3CDTF">2026-04-06T19:59:15Z</dcterms:modified>
</cp:coreProperties>
</file>